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1767bc6245dff04e/Documentos/Projetos/Homogeneização por fatores/URBANAS/III/"/>
    </mc:Choice>
  </mc:AlternateContent>
  <xr:revisionPtr revIDLastSave="307" documentId="8_{E597D1D8-DC94-448B-A7D0-3CBC9E5B1406}" xr6:coauthVersionLast="47" xr6:coauthVersionMax="47" xr10:uidLastSave="{5DDAF3AF-9F2C-4AF3-8A64-90531F31AEF5}"/>
  <bookViews>
    <workbookView xWindow="-120" yWindow="-120" windowWidth="29040" windowHeight="15720" tabRatio="901" xr2:uid="{C3A22E73-4D52-4DA0-A647-BA53DE8F5818}"/>
  </bookViews>
  <sheets>
    <sheet name="TERRENO E BENFEITORIAS" sheetId="4" r:id="rId1"/>
    <sheet name="VANTAGEM DA COISA FEITA" sheetId="28" r:id="rId2"/>
    <sheet name="DEPRECIAÇÃO" sheetId="27" r:id="rId3"/>
    <sheet name="LAUDO DE VISTORIA" sheetId="24" r:id="rId4"/>
  </sheets>
  <definedNames>
    <definedName name="_xlnm._FilterDatabase" localSheetId="0" hidden="1">'TERRENO E BENFEITORIAS'!$B$17:$R$29</definedName>
    <definedName name="_xlnm.Print_Area" localSheetId="2">DEPRECIAÇÃO!$A$1:$J$340</definedName>
    <definedName name="_xlnm.Print_Area" localSheetId="3">'LAUDO DE VISTORIA'!$A$1:$AM$144</definedName>
    <definedName name="_xlnm.Print_Area" localSheetId="0">'TERRENO E BENFEITORIAS'!$A$1:$R$418</definedName>
    <definedName name="_xlnm.Print_Area" localSheetId="1">'VANTAGEM DA COISA FEITA'!$A$1:$R$20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19" i="4" l="1"/>
  <c r="X278" i="4"/>
  <c r="X234" i="4"/>
  <c r="O177" i="4" l="1"/>
  <c r="N177" i="4"/>
  <c r="M177" i="4"/>
  <c r="L177" i="4"/>
  <c r="K177" i="4"/>
  <c r="J177" i="4"/>
  <c r="I177" i="4"/>
  <c r="O176" i="4"/>
  <c r="N176" i="4"/>
  <c r="M176" i="4"/>
  <c r="L176" i="4"/>
  <c r="K176" i="4"/>
  <c r="J176" i="4"/>
  <c r="I176" i="4"/>
  <c r="O175" i="4"/>
  <c r="N175" i="4"/>
  <c r="M175" i="4"/>
  <c r="L175" i="4"/>
  <c r="K175" i="4"/>
  <c r="J175" i="4"/>
  <c r="I175" i="4"/>
  <c r="O174" i="4"/>
  <c r="N174" i="4"/>
  <c r="M174" i="4"/>
  <c r="L174" i="4"/>
  <c r="K174" i="4"/>
  <c r="J174" i="4"/>
  <c r="I174" i="4"/>
  <c r="O173" i="4"/>
  <c r="N173" i="4"/>
  <c r="M173" i="4"/>
  <c r="L173" i="4"/>
  <c r="K173" i="4"/>
  <c r="J173" i="4"/>
  <c r="I173" i="4"/>
  <c r="O172" i="4"/>
  <c r="N172" i="4"/>
  <c r="M172" i="4"/>
  <c r="L172" i="4"/>
  <c r="K172" i="4"/>
  <c r="J172" i="4"/>
  <c r="I172" i="4"/>
  <c r="O171" i="4"/>
  <c r="N171" i="4"/>
  <c r="M171" i="4"/>
  <c r="L171" i="4"/>
  <c r="K171" i="4"/>
  <c r="J171" i="4"/>
  <c r="I171" i="4"/>
  <c r="O170" i="4"/>
  <c r="N170" i="4"/>
  <c r="M170" i="4"/>
  <c r="L170" i="4"/>
  <c r="K170" i="4"/>
  <c r="J170" i="4"/>
  <c r="I170" i="4"/>
  <c r="O169" i="4"/>
  <c r="N169" i="4"/>
  <c r="M169" i="4"/>
  <c r="L169" i="4"/>
  <c r="K169" i="4"/>
  <c r="J169" i="4"/>
  <c r="I169" i="4"/>
  <c r="O168" i="4"/>
  <c r="N168" i="4"/>
  <c r="M168" i="4"/>
  <c r="L168" i="4"/>
  <c r="K168" i="4"/>
  <c r="J168" i="4"/>
  <c r="I168" i="4"/>
  <c r="O167" i="4"/>
  <c r="N167" i="4"/>
  <c r="M167" i="4"/>
  <c r="L167" i="4"/>
  <c r="K167" i="4"/>
  <c r="J167" i="4"/>
  <c r="I167" i="4"/>
  <c r="O166" i="4"/>
  <c r="N166" i="4"/>
  <c r="M166" i="4"/>
  <c r="L166" i="4"/>
  <c r="K166" i="4"/>
  <c r="J166" i="4"/>
  <c r="I166" i="4"/>
  <c r="O159" i="4"/>
  <c r="N159" i="4"/>
  <c r="M159" i="4"/>
  <c r="L159" i="4"/>
  <c r="K159" i="4"/>
  <c r="J159" i="4"/>
  <c r="I159" i="4"/>
  <c r="M146" i="4"/>
  <c r="M147" i="4"/>
  <c r="M148" i="4"/>
  <c r="M149" i="4"/>
  <c r="M150" i="4"/>
  <c r="M151" i="4"/>
  <c r="M145" i="4"/>
  <c r="W444" i="4"/>
  <c r="G306" i="4"/>
  <c r="G307" i="4"/>
  <c r="G308" i="4"/>
  <c r="G309" i="4"/>
  <c r="G310" i="4"/>
  <c r="G311" i="4"/>
  <c r="G312" i="4"/>
  <c r="G313" i="4"/>
  <c r="G314" i="4"/>
  <c r="G315" i="4"/>
  <c r="G316" i="4"/>
  <c r="G305" i="4"/>
  <c r="G269" i="4"/>
  <c r="G270" i="4"/>
  <c r="G271" i="4"/>
  <c r="G272" i="4"/>
  <c r="G273" i="4"/>
  <c r="G274" i="4"/>
  <c r="G275" i="4"/>
  <c r="G276" i="4"/>
  <c r="G277" i="4"/>
  <c r="G278" i="4"/>
  <c r="G279" i="4"/>
  <c r="G268" i="4"/>
  <c r="G235" i="4"/>
  <c r="G236" i="4"/>
  <c r="G237" i="4"/>
  <c r="G238" i="4"/>
  <c r="G239" i="4"/>
  <c r="G240" i="4"/>
  <c r="G241" i="4"/>
  <c r="G242" i="4"/>
  <c r="G243" i="4"/>
  <c r="G244" i="4"/>
  <c r="G245" i="4"/>
  <c r="G234" i="4"/>
  <c r="P176" i="4" l="1"/>
  <c r="P175" i="4"/>
  <c r="P174" i="4"/>
  <c r="P173" i="4"/>
  <c r="P172" i="4"/>
  <c r="P171" i="4"/>
  <c r="P170" i="4"/>
  <c r="J63" i="4"/>
  <c r="J62" i="4"/>
  <c r="J61" i="4"/>
  <c r="J60" i="4"/>
  <c r="J59" i="4"/>
  <c r="J58" i="4"/>
  <c r="J57" i="4"/>
  <c r="N22" i="4"/>
  <c r="N23" i="4"/>
  <c r="N24" i="4"/>
  <c r="N25" i="4"/>
  <c r="N26" i="4"/>
  <c r="N27" i="4"/>
  <c r="N28" i="4"/>
  <c r="H27" i="4"/>
  <c r="H28" i="4"/>
  <c r="H24" i="4"/>
  <c r="H25" i="4"/>
  <c r="H26" i="4"/>
  <c r="H23" i="4"/>
  <c r="H22" i="4"/>
  <c r="E202" i="4" l="1"/>
  <c r="U171" i="4"/>
  <c r="E203" i="4"/>
  <c r="U172" i="4"/>
  <c r="E201" i="4"/>
  <c r="U170" i="4"/>
  <c r="E204" i="4"/>
  <c r="U173" i="4"/>
  <c r="E205" i="4"/>
  <c r="U174" i="4"/>
  <c r="E206" i="4"/>
  <c r="U175" i="4"/>
  <c r="E207" i="4"/>
  <c r="U176" i="4"/>
  <c r="P23" i="4"/>
  <c r="B58" i="4" s="1"/>
  <c r="P26" i="4"/>
  <c r="B61" i="4" s="1"/>
  <c r="P25" i="4"/>
  <c r="B60" i="4" s="1"/>
  <c r="P24" i="4"/>
  <c r="B59" i="4" s="1"/>
  <c r="P28" i="4"/>
  <c r="B63" i="4" s="1"/>
  <c r="P27" i="4"/>
  <c r="B62" i="4" s="1"/>
  <c r="P22" i="4"/>
  <c r="B57" i="4" s="1"/>
  <c r="P168" i="4" l="1"/>
  <c r="P167" i="4"/>
  <c r="J55" i="4"/>
  <c r="J54" i="4"/>
  <c r="N20" i="4"/>
  <c r="N21" i="4"/>
  <c r="H20" i="4"/>
  <c r="H21" i="4"/>
  <c r="E198" i="4" l="1"/>
  <c r="U167" i="4"/>
  <c r="E199" i="4"/>
  <c r="U168" i="4"/>
  <c r="P21" i="4"/>
  <c r="B56" i="4" s="1"/>
  <c r="P20" i="4"/>
  <c r="B55" i="4" s="1"/>
  <c r="K445" i="4" l="1"/>
  <c r="F429" i="4"/>
  <c r="F428" i="4"/>
  <c r="Z419" i="4"/>
  <c r="E407" i="4"/>
  <c r="L401" i="4"/>
  <c r="L436" i="4" s="1"/>
  <c r="A261" i="27"/>
  <c r="A262" i="27" s="1"/>
  <c r="A263" i="27" s="1"/>
  <c r="A264" i="27" s="1"/>
  <c r="A265" i="27" s="1"/>
  <c r="A266" i="27" s="1"/>
  <c r="A267" i="27" s="1"/>
  <c r="A268" i="27" s="1"/>
  <c r="A269" i="27" s="1"/>
  <c r="A270" i="27" s="1"/>
  <c r="A271" i="27" s="1"/>
  <c r="A272" i="27" s="1"/>
  <c r="A273" i="27" s="1"/>
  <c r="A274" i="27" s="1"/>
  <c r="A275" i="27" s="1"/>
  <c r="A276" i="27" s="1"/>
  <c r="A277" i="27" s="1"/>
  <c r="A278" i="27" s="1"/>
  <c r="A279" i="27" s="1"/>
  <c r="A280" i="27" s="1"/>
  <c r="A281" i="27" s="1"/>
  <c r="A282" i="27" s="1"/>
  <c r="A283" i="27" s="1"/>
  <c r="A284" i="27" s="1"/>
  <c r="A285" i="27" s="1"/>
  <c r="A286" i="27" s="1"/>
  <c r="A287" i="27" s="1"/>
  <c r="A288" i="27" s="1"/>
  <c r="A289" i="27" s="1"/>
  <c r="A290" i="27" s="1"/>
  <c r="A291" i="27" s="1"/>
  <c r="A292" i="27" s="1"/>
  <c r="A293" i="27" s="1"/>
  <c r="A294" i="27" s="1"/>
  <c r="A295" i="27" s="1"/>
  <c r="A296" i="27" s="1"/>
  <c r="A297" i="27" s="1"/>
  <c r="A298" i="27" s="1"/>
  <c r="A299" i="27" s="1"/>
  <c r="A300" i="27" s="1"/>
  <c r="A301" i="27" s="1"/>
  <c r="A302" i="27" s="1"/>
  <c r="A303" i="27" s="1"/>
  <c r="A304" i="27" s="1"/>
  <c r="A305" i="27" s="1"/>
  <c r="A306" i="27" s="1"/>
  <c r="A307" i="27" s="1"/>
  <c r="A308" i="27" s="1"/>
  <c r="A309" i="27" s="1"/>
  <c r="A310" i="27" s="1"/>
  <c r="J259" i="27"/>
  <c r="I259" i="27"/>
  <c r="H259" i="27"/>
  <c r="G259" i="27"/>
  <c r="F259" i="27"/>
  <c r="E259" i="27"/>
  <c r="D259" i="27"/>
  <c r="C259" i="27"/>
  <c r="B259" i="27"/>
  <c r="J193" i="27"/>
  <c r="J260" i="27" s="1"/>
  <c r="I193" i="27"/>
  <c r="I260" i="27" s="1"/>
  <c r="H193" i="27"/>
  <c r="H260" i="27" s="1"/>
  <c r="G193" i="27"/>
  <c r="G260" i="27" s="1"/>
  <c r="F193" i="27"/>
  <c r="F260" i="27" s="1"/>
  <c r="E193" i="27"/>
  <c r="E260" i="27" s="1"/>
  <c r="D193" i="27"/>
  <c r="D260" i="27" s="1"/>
  <c r="C193" i="27"/>
  <c r="C260" i="27" s="1"/>
  <c r="B193" i="27"/>
  <c r="B260" i="27" s="1"/>
  <c r="A193" i="27"/>
  <c r="J192" i="27"/>
  <c r="I192" i="27"/>
  <c r="H192" i="27"/>
  <c r="G192" i="27"/>
  <c r="F192" i="27"/>
  <c r="E192" i="27"/>
  <c r="D192" i="27"/>
  <c r="C192" i="27"/>
  <c r="B192" i="27"/>
  <c r="A192" i="27"/>
  <c r="J191" i="27"/>
  <c r="I191" i="27"/>
  <c r="H191" i="27"/>
  <c r="G191" i="27"/>
  <c r="F191" i="27"/>
  <c r="E191" i="27"/>
  <c r="D191" i="27"/>
  <c r="C191" i="27"/>
  <c r="B191" i="27"/>
  <c r="A191" i="27"/>
  <c r="J190" i="27"/>
  <c r="I190" i="27"/>
  <c r="H190" i="27"/>
  <c r="G190" i="27"/>
  <c r="F190" i="27"/>
  <c r="E190" i="27"/>
  <c r="D190" i="27"/>
  <c r="C190" i="27"/>
  <c r="A190" i="27"/>
  <c r="J189" i="27"/>
  <c r="I189" i="27"/>
  <c r="H189" i="27"/>
  <c r="G189" i="27"/>
  <c r="F189" i="27"/>
  <c r="E189" i="27"/>
  <c r="D189" i="27"/>
  <c r="C189" i="27"/>
  <c r="B189" i="27"/>
  <c r="A189" i="27"/>
  <c r="A123" i="27"/>
  <c r="B123" i="27" s="1"/>
  <c r="J123" i="27" s="1"/>
  <c r="J194" i="27" s="1"/>
  <c r="J261" i="27" s="1"/>
  <c r="M153" i="4"/>
  <c r="W445" i="4" l="1"/>
  <c r="W446" i="4" s="1" a="1"/>
  <c r="W446" i="4" s="1"/>
  <c r="L451" i="4" s="1"/>
  <c r="C123" i="27"/>
  <c r="C194" i="27" s="1"/>
  <c r="C261" i="27" s="1"/>
  <c r="A194" i="27"/>
  <c r="I431" i="4"/>
  <c r="I432" i="4" s="1"/>
  <c r="I433" i="4" s="1"/>
  <c r="I123" i="27"/>
  <c r="I194" i="27" s="1"/>
  <c r="I261" i="27" s="1"/>
  <c r="H123" i="27"/>
  <c r="H194" i="27" s="1"/>
  <c r="H261" i="27" s="1"/>
  <c r="G123" i="27"/>
  <c r="G194" i="27" s="1"/>
  <c r="G261" i="27" s="1"/>
  <c r="F123" i="27"/>
  <c r="F194" i="27" s="1"/>
  <c r="F261" i="27" s="1"/>
  <c r="E123" i="27"/>
  <c r="E194" i="27" s="1"/>
  <c r="E261" i="27" s="1"/>
  <c r="D123" i="27"/>
  <c r="D194" i="27" s="1"/>
  <c r="D261" i="27" s="1"/>
  <c r="B194" i="27"/>
  <c r="B261" i="27" s="1"/>
  <c r="A124" i="27"/>
  <c r="L437" i="4" l="1"/>
  <c r="L439" i="4" s="1"/>
  <c r="L448" i="4" s="1"/>
  <c r="X453" i="4" s="1"/>
  <c r="A125" i="27"/>
  <c r="B124" i="27"/>
  <c r="A195" i="27"/>
  <c r="J124" i="27" l="1"/>
  <c r="J195" i="27" s="1"/>
  <c r="J262" i="27" s="1"/>
  <c r="I124" i="27"/>
  <c r="I195" i="27" s="1"/>
  <c r="I262" i="27" s="1"/>
  <c r="H124" i="27"/>
  <c r="H195" i="27" s="1"/>
  <c r="H262" i="27" s="1"/>
  <c r="G124" i="27"/>
  <c r="G195" i="27" s="1"/>
  <c r="G262" i="27" s="1"/>
  <c r="B195" i="27"/>
  <c r="B262" i="27" s="1"/>
  <c r="F124" i="27"/>
  <c r="F195" i="27" s="1"/>
  <c r="F262" i="27" s="1"/>
  <c r="D124" i="27"/>
  <c r="D195" i="27" s="1"/>
  <c r="D262" i="27" s="1"/>
  <c r="C124" i="27"/>
  <c r="C195" i="27" s="1"/>
  <c r="C262" i="27" s="1"/>
  <c r="E124" i="27"/>
  <c r="E195" i="27" s="1"/>
  <c r="E262" i="27" s="1"/>
  <c r="A196" i="27"/>
  <c r="A126" i="27"/>
  <c r="B125" i="27"/>
  <c r="B196" i="27" l="1"/>
  <c r="B263" i="27" s="1"/>
  <c r="J125" i="27"/>
  <c r="J196" i="27" s="1"/>
  <c r="J263" i="27" s="1"/>
  <c r="I125" i="27"/>
  <c r="I196" i="27" s="1"/>
  <c r="I263" i="27" s="1"/>
  <c r="H125" i="27"/>
  <c r="H196" i="27" s="1"/>
  <c r="H263" i="27" s="1"/>
  <c r="F125" i="27"/>
  <c r="F196" i="27" s="1"/>
  <c r="F263" i="27" s="1"/>
  <c r="D125" i="27"/>
  <c r="D196" i="27" s="1"/>
  <c r="D263" i="27" s="1"/>
  <c r="C125" i="27"/>
  <c r="C196" i="27" s="1"/>
  <c r="C263" i="27" s="1"/>
  <c r="G125" i="27"/>
  <c r="G196" i="27" s="1"/>
  <c r="G263" i="27" s="1"/>
  <c r="E125" i="27"/>
  <c r="E196" i="27" s="1"/>
  <c r="E263" i="27" s="1"/>
  <c r="A197" i="27"/>
  <c r="B126" i="27"/>
  <c r="A127" i="27"/>
  <c r="B127" i="27" l="1"/>
  <c r="A198" i="27"/>
  <c r="A128" i="27"/>
  <c r="B197" i="27"/>
  <c r="B264" i="27" s="1"/>
  <c r="C126" i="27"/>
  <c r="C197" i="27" s="1"/>
  <c r="C264" i="27" s="1"/>
  <c r="J126" i="27"/>
  <c r="J197" i="27" s="1"/>
  <c r="J264" i="27" s="1"/>
  <c r="H126" i="27"/>
  <c r="H197" i="27" s="1"/>
  <c r="H264" i="27" s="1"/>
  <c r="F126" i="27"/>
  <c r="F197" i="27" s="1"/>
  <c r="F264" i="27" s="1"/>
  <c r="D126" i="27"/>
  <c r="D197" i="27" s="1"/>
  <c r="D264" i="27" s="1"/>
  <c r="I126" i="27"/>
  <c r="I197" i="27" s="1"/>
  <c r="I264" i="27" s="1"/>
  <c r="E126" i="27"/>
  <c r="E197" i="27" s="1"/>
  <c r="E264" i="27" s="1"/>
  <c r="G126" i="27"/>
  <c r="G197" i="27" s="1"/>
  <c r="G264" i="27" s="1"/>
  <c r="A199" i="27" l="1"/>
  <c r="B128" i="27"/>
  <c r="A129" i="27"/>
  <c r="B198" i="27"/>
  <c r="B265" i="27" s="1"/>
  <c r="E127" i="27"/>
  <c r="E198" i="27" s="1"/>
  <c r="E265" i="27" s="1"/>
  <c r="D127" i="27"/>
  <c r="D198" i="27" s="1"/>
  <c r="D265" i="27" s="1"/>
  <c r="C127" i="27"/>
  <c r="C198" i="27" s="1"/>
  <c r="C265" i="27" s="1"/>
  <c r="J127" i="27"/>
  <c r="J198" i="27" s="1"/>
  <c r="J265" i="27" s="1"/>
  <c r="H127" i="27"/>
  <c r="H198" i="27" s="1"/>
  <c r="H265" i="27" s="1"/>
  <c r="I127" i="27"/>
  <c r="I198" i="27" s="1"/>
  <c r="I265" i="27" s="1"/>
  <c r="F127" i="27"/>
  <c r="F198" i="27" s="1"/>
  <c r="F265" i="27" s="1"/>
  <c r="G127" i="27"/>
  <c r="G198" i="27" s="1"/>
  <c r="G265" i="27" s="1"/>
  <c r="A200" i="27" l="1"/>
  <c r="B129" i="27"/>
  <c r="A130" i="27"/>
  <c r="G128" i="27"/>
  <c r="G199" i="27" s="1"/>
  <c r="G266" i="27" s="1"/>
  <c r="F128" i="27"/>
  <c r="F199" i="27" s="1"/>
  <c r="F266" i="27" s="1"/>
  <c r="E128" i="27"/>
  <c r="E199" i="27" s="1"/>
  <c r="E266" i="27" s="1"/>
  <c r="D128" i="27"/>
  <c r="D199" i="27" s="1"/>
  <c r="D266" i="27" s="1"/>
  <c r="B199" i="27"/>
  <c r="B266" i="27" s="1"/>
  <c r="C128" i="27"/>
  <c r="C199" i="27" s="1"/>
  <c r="C266" i="27" s="1"/>
  <c r="J128" i="27"/>
  <c r="J199" i="27" s="1"/>
  <c r="J266" i="27" s="1"/>
  <c r="I128" i="27"/>
  <c r="I199" i="27" s="1"/>
  <c r="I266" i="27" s="1"/>
  <c r="H128" i="27"/>
  <c r="H199" i="27" s="1"/>
  <c r="H266" i="27" s="1"/>
  <c r="A131" i="27" l="1"/>
  <c r="A201" i="27"/>
  <c r="B130" i="27"/>
  <c r="I129" i="27"/>
  <c r="I200" i="27" s="1"/>
  <c r="I267" i="27" s="1"/>
  <c r="H129" i="27"/>
  <c r="H200" i="27" s="1"/>
  <c r="H267" i="27" s="1"/>
  <c r="G129" i="27"/>
  <c r="G200" i="27" s="1"/>
  <c r="G267" i="27" s="1"/>
  <c r="F129" i="27"/>
  <c r="F200" i="27" s="1"/>
  <c r="F267" i="27" s="1"/>
  <c r="E129" i="27"/>
  <c r="E200" i="27" s="1"/>
  <c r="E267" i="27" s="1"/>
  <c r="D129" i="27"/>
  <c r="D200" i="27" s="1"/>
  <c r="D267" i="27" s="1"/>
  <c r="B200" i="27"/>
  <c r="B267" i="27" s="1"/>
  <c r="J129" i="27"/>
  <c r="J200" i="27" s="1"/>
  <c r="J267" i="27" s="1"/>
  <c r="C129" i="27"/>
  <c r="C200" i="27" s="1"/>
  <c r="C267" i="27" s="1"/>
  <c r="J130" i="27" l="1"/>
  <c r="J201" i="27" s="1"/>
  <c r="J268" i="27" s="1"/>
  <c r="I130" i="27"/>
  <c r="I201" i="27" s="1"/>
  <c r="I268" i="27" s="1"/>
  <c r="H130" i="27"/>
  <c r="H201" i="27" s="1"/>
  <c r="H268" i="27" s="1"/>
  <c r="G130" i="27"/>
  <c r="G201" i="27" s="1"/>
  <c r="G268" i="27" s="1"/>
  <c r="F130" i="27"/>
  <c r="F201" i="27" s="1"/>
  <c r="F268" i="27" s="1"/>
  <c r="D130" i="27"/>
  <c r="D201" i="27" s="1"/>
  <c r="D268" i="27" s="1"/>
  <c r="B201" i="27"/>
  <c r="B268" i="27" s="1"/>
  <c r="E130" i="27"/>
  <c r="E201" i="27" s="1"/>
  <c r="E268" i="27" s="1"/>
  <c r="C130" i="27"/>
  <c r="C201" i="27" s="1"/>
  <c r="C268" i="27" s="1"/>
  <c r="A202" i="27"/>
  <c r="A132" i="27"/>
  <c r="B131" i="27"/>
  <c r="B202" i="27" l="1"/>
  <c r="B269" i="27" s="1"/>
  <c r="J131" i="27"/>
  <c r="J202" i="27" s="1"/>
  <c r="J269" i="27" s="1"/>
  <c r="I131" i="27"/>
  <c r="I202" i="27" s="1"/>
  <c r="I269" i="27" s="1"/>
  <c r="H131" i="27"/>
  <c r="H202" i="27" s="1"/>
  <c r="H269" i="27" s="1"/>
  <c r="F131" i="27"/>
  <c r="F202" i="27" s="1"/>
  <c r="F269" i="27" s="1"/>
  <c r="D131" i="27"/>
  <c r="D202" i="27" s="1"/>
  <c r="D269" i="27" s="1"/>
  <c r="E131" i="27"/>
  <c r="E202" i="27" s="1"/>
  <c r="E269" i="27" s="1"/>
  <c r="C131" i="27"/>
  <c r="C202" i="27" s="1"/>
  <c r="C269" i="27" s="1"/>
  <c r="G131" i="27"/>
  <c r="G202" i="27" s="1"/>
  <c r="G269" i="27" s="1"/>
  <c r="A203" i="27"/>
  <c r="B132" i="27"/>
  <c r="A133" i="27"/>
  <c r="B133" i="27" l="1"/>
  <c r="A204" i="27"/>
  <c r="A134" i="27"/>
  <c r="B203" i="27"/>
  <c r="B270" i="27" s="1"/>
  <c r="C132" i="27"/>
  <c r="C203" i="27" s="1"/>
  <c r="C270" i="27" s="1"/>
  <c r="J132" i="27"/>
  <c r="J203" i="27" s="1"/>
  <c r="J270" i="27" s="1"/>
  <c r="H132" i="27"/>
  <c r="H203" i="27" s="1"/>
  <c r="H270" i="27" s="1"/>
  <c r="F132" i="27"/>
  <c r="F203" i="27" s="1"/>
  <c r="F270" i="27" s="1"/>
  <c r="E132" i="27"/>
  <c r="E203" i="27" s="1"/>
  <c r="E270" i="27" s="1"/>
  <c r="I132" i="27"/>
  <c r="I203" i="27" s="1"/>
  <c r="I270" i="27" s="1"/>
  <c r="G132" i="27"/>
  <c r="G203" i="27" s="1"/>
  <c r="G270" i="27" s="1"/>
  <c r="D132" i="27"/>
  <c r="D203" i="27" s="1"/>
  <c r="D270" i="27" s="1"/>
  <c r="B134" i="27" l="1"/>
  <c r="A135" i="27"/>
  <c r="A205" i="27"/>
  <c r="B204" i="27"/>
  <c r="B271" i="27" s="1"/>
  <c r="E133" i="27"/>
  <c r="E204" i="27" s="1"/>
  <c r="E271" i="27" s="1"/>
  <c r="D133" i="27"/>
  <c r="D204" i="27" s="1"/>
  <c r="D271" i="27" s="1"/>
  <c r="C133" i="27"/>
  <c r="C204" i="27" s="1"/>
  <c r="C271" i="27" s="1"/>
  <c r="J133" i="27"/>
  <c r="J204" i="27" s="1"/>
  <c r="J271" i="27" s="1"/>
  <c r="H133" i="27"/>
  <c r="H204" i="27" s="1"/>
  <c r="H271" i="27" s="1"/>
  <c r="G133" i="27"/>
  <c r="G204" i="27" s="1"/>
  <c r="G271" i="27" s="1"/>
  <c r="I133" i="27"/>
  <c r="I204" i="27" s="1"/>
  <c r="I271" i="27" s="1"/>
  <c r="F133" i="27"/>
  <c r="F204" i="27" s="1"/>
  <c r="F271" i="27" s="1"/>
  <c r="A206" i="27" l="1"/>
  <c r="B135" i="27"/>
  <c r="A136" i="27"/>
  <c r="G134" i="27"/>
  <c r="G205" i="27" s="1"/>
  <c r="G272" i="27" s="1"/>
  <c r="F134" i="27"/>
  <c r="F205" i="27" s="1"/>
  <c r="F272" i="27" s="1"/>
  <c r="E134" i="27"/>
  <c r="E205" i="27" s="1"/>
  <c r="E272" i="27" s="1"/>
  <c r="D134" i="27"/>
  <c r="D205" i="27" s="1"/>
  <c r="D272" i="27" s="1"/>
  <c r="C134" i="27"/>
  <c r="C205" i="27" s="1"/>
  <c r="C272" i="27" s="1"/>
  <c r="B205" i="27"/>
  <c r="B272" i="27" s="1"/>
  <c r="J134" i="27"/>
  <c r="J205" i="27" s="1"/>
  <c r="J272" i="27" s="1"/>
  <c r="I134" i="27"/>
  <c r="I205" i="27" s="1"/>
  <c r="I272" i="27" s="1"/>
  <c r="H134" i="27"/>
  <c r="H205" i="27" s="1"/>
  <c r="H272" i="27" s="1"/>
  <c r="A137" i="27" l="1"/>
  <c r="B136" i="27"/>
  <c r="A207" i="27"/>
  <c r="B206" i="27"/>
  <c r="B273" i="27" s="1"/>
  <c r="I135" i="27"/>
  <c r="I206" i="27" s="1"/>
  <c r="I273" i="27" s="1"/>
  <c r="H135" i="27"/>
  <c r="H206" i="27" s="1"/>
  <c r="H273" i="27" s="1"/>
  <c r="G135" i="27"/>
  <c r="G206" i="27" s="1"/>
  <c r="G273" i="27" s="1"/>
  <c r="F135" i="27"/>
  <c r="F206" i="27" s="1"/>
  <c r="F273" i="27" s="1"/>
  <c r="E135" i="27"/>
  <c r="E206" i="27" s="1"/>
  <c r="E273" i="27" s="1"/>
  <c r="D135" i="27"/>
  <c r="D206" i="27" s="1"/>
  <c r="D273" i="27" s="1"/>
  <c r="J135" i="27"/>
  <c r="J206" i="27" s="1"/>
  <c r="J273" i="27" s="1"/>
  <c r="C135" i="27"/>
  <c r="C206" i="27" s="1"/>
  <c r="C273" i="27" s="1"/>
  <c r="J136" i="27" l="1"/>
  <c r="J207" i="27" s="1"/>
  <c r="J274" i="27" s="1"/>
  <c r="I136" i="27"/>
  <c r="I207" i="27" s="1"/>
  <c r="I274" i="27" s="1"/>
  <c r="H136" i="27"/>
  <c r="H207" i="27" s="1"/>
  <c r="H274" i="27" s="1"/>
  <c r="G136" i="27"/>
  <c r="G207" i="27" s="1"/>
  <c r="G274" i="27" s="1"/>
  <c r="F136" i="27"/>
  <c r="F207" i="27" s="1"/>
  <c r="F274" i="27" s="1"/>
  <c r="B207" i="27"/>
  <c r="B274" i="27" s="1"/>
  <c r="D136" i="27"/>
  <c r="D207" i="27" s="1"/>
  <c r="D274" i="27" s="1"/>
  <c r="E136" i="27"/>
  <c r="E207" i="27" s="1"/>
  <c r="E274" i="27" s="1"/>
  <c r="C136" i="27"/>
  <c r="C207" i="27" s="1"/>
  <c r="C274" i="27" s="1"/>
  <c r="A208" i="27"/>
  <c r="A138" i="27"/>
  <c r="B137" i="27"/>
  <c r="A209" i="27" l="1"/>
  <c r="B138" i="27"/>
  <c r="A139" i="27"/>
  <c r="B208" i="27"/>
  <c r="B275" i="27" s="1"/>
  <c r="J137" i="27"/>
  <c r="J208" i="27" s="1"/>
  <c r="J275" i="27" s="1"/>
  <c r="I137" i="27"/>
  <c r="I208" i="27" s="1"/>
  <c r="I275" i="27" s="1"/>
  <c r="H137" i="27"/>
  <c r="H208" i="27" s="1"/>
  <c r="H275" i="27" s="1"/>
  <c r="F137" i="27"/>
  <c r="F208" i="27" s="1"/>
  <c r="F275" i="27" s="1"/>
  <c r="D137" i="27"/>
  <c r="D208" i="27" s="1"/>
  <c r="D275" i="27" s="1"/>
  <c r="C137" i="27"/>
  <c r="C208" i="27" s="1"/>
  <c r="C275" i="27" s="1"/>
  <c r="G137" i="27"/>
  <c r="G208" i="27" s="1"/>
  <c r="G275" i="27" s="1"/>
  <c r="E137" i="27"/>
  <c r="E208" i="27" s="1"/>
  <c r="E275" i="27" s="1"/>
  <c r="A210" i="27" l="1"/>
  <c r="B139" i="27"/>
  <c r="A140" i="27"/>
  <c r="B209" i="27"/>
  <c r="B276" i="27" s="1"/>
  <c r="C138" i="27"/>
  <c r="C209" i="27" s="1"/>
  <c r="C276" i="27" s="1"/>
  <c r="J138" i="27"/>
  <c r="J209" i="27" s="1"/>
  <c r="J276" i="27" s="1"/>
  <c r="H138" i="27"/>
  <c r="H209" i="27" s="1"/>
  <c r="H276" i="27" s="1"/>
  <c r="F138" i="27"/>
  <c r="F209" i="27" s="1"/>
  <c r="F276" i="27" s="1"/>
  <c r="G138" i="27"/>
  <c r="G209" i="27" s="1"/>
  <c r="G276" i="27" s="1"/>
  <c r="E138" i="27"/>
  <c r="E209" i="27" s="1"/>
  <c r="E276" i="27" s="1"/>
  <c r="D138" i="27"/>
  <c r="D209" i="27" s="1"/>
  <c r="D276" i="27" s="1"/>
  <c r="I138" i="27"/>
  <c r="I209" i="27" s="1"/>
  <c r="I276" i="27" s="1"/>
  <c r="B140" i="27" l="1"/>
  <c r="A141" i="27"/>
  <c r="A211" i="27"/>
  <c r="B210" i="27"/>
  <c r="B277" i="27" s="1"/>
  <c r="E139" i="27"/>
  <c r="E210" i="27" s="1"/>
  <c r="E277" i="27" s="1"/>
  <c r="D139" i="27"/>
  <c r="D210" i="27" s="1"/>
  <c r="D277" i="27" s="1"/>
  <c r="C139" i="27"/>
  <c r="C210" i="27" s="1"/>
  <c r="C277" i="27" s="1"/>
  <c r="J139" i="27"/>
  <c r="J210" i="27" s="1"/>
  <c r="J277" i="27" s="1"/>
  <c r="H139" i="27"/>
  <c r="H210" i="27" s="1"/>
  <c r="H277" i="27" s="1"/>
  <c r="G139" i="27"/>
  <c r="G210" i="27" s="1"/>
  <c r="G277" i="27" s="1"/>
  <c r="I139" i="27"/>
  <c r="I210" i="27" s="1"/>
  <c r="I277" i="27" s="1"/>
  <c r="F139" i="27"/>
  <c r="F210" i="27" s="1"/>
  <c r="F277" i="27" s="1"/>
  <c r="B141" i="27" l="1"/>
  <c r="A142" i="27"/>
  <c r="A212" i="27"/>
  <c r="G140" i="27"/>
  <c r="G211" i="27" s="1"/>
  <c r="G278" i="27" s="1"/>
  <c r="F140" i="27"/>
  <c r="F211" i="27" s="1"/>
  <c r="F278" i="27" s="1"/>
  <c r="E140" i="27"/>
  <c r="E211" i="27" s="1"/>
  <c r="E278" i="27" s="1"/>
  <c r="D140" i="27"/>
  <c r="D211" i="27" s="1"/>
  <c r="D278" i="27" s="1"/>
  <c r="C140" i="27"/>
  <c r="C211" i="27" s="1"/>
  <c r="C278" i="27" s="1"/>
  <c r="B211" i="27"/>
  <c r="B278" i="27" s="1"/>
  <c r="J140" i="27"/>
  <c r="J211" i="27" s="1"/>
  <c r="J278" i="27" s="1"/>
  <c r="H140" i="27"/>
  <c r="H211" i="27" s="1"/>
  <c r="H278" i="27" s="1"/>
  <c r="I140" i="27"/>
  <c r="I211" i="27" s="1"/>
  <c r="I278" i="27" s="1"/>
  <c r="A143" i="27" l="1"/>
  <c r="A213" i="27"/>
  <c r="B142" i="27"/>
  <c r="I141" i="27"/>
  <c r="I212" i="27" s="1"/>
  <c r="I279" i="27" s="1"/>
  <c r="H141" i="27"/>
  <c r="H212" i="27" s="1"/>
  <c r="H279" i="27" s="1"/>
  <c r="G141" i="27"/>
  <c r="G212" i="27" s="1"/>
  <c r="G279" i="27" s="1"/>
  <c r="F141" i="27"/>
  <c r="F212" i="27" s="1"/>
  <c r="F279" i="27" s="1"/>
  <c r="E141" i="27"/>
  <c r="E212" i="27" s="1"/>
  <c r="E279" i="27" s="1"/>
  <c r="B212" i="27"/>
  <c r="B279" i="27" s="1"/>
  <c r="D141" i="27"/>
  <c r="D212" i="27" s="1"/>
  <c r="D279" i="27" s="1"/>
  <c r="J141" i="27"/>
  <c r="J212" i="27" s="1"/>
  <c r="J279" i="27" s="1"/>
  <c r="C141" i="27"/>
  <c r="C212" i="27" s="1"/>
  <c r="C279" i="27" s="1"/>
  <c r="B213" i="27" l="1"/>
  <c r="B280" i="27" s="1"/>
  <c r="J142" i="27"/>
  <c r="J213" i="27" s="1"/>
  <c r="J280" i="27" s="1"/>
  <c r="I142" i="27"/>
  <c r="I213" i="27" s="1"/>
  <c r="I280" i="27" s="1"/>
  <c r="H142" i="27"/>
  <c r="H213" i="27" s="1"/>
  <c r="H280" i="27" s="1"/>
  <c r="G142" i="27"/>
  <c r="G213" i="27" s="1"/>
  <c r="G280" i="27" s="1"/>
  <c r="F142" i="27"/>
  <c r="F213" i="27" s="1"/>
  <c r="F280" i="27" s="1"/>
  <c r="D142" i="27"/>
  <c r="D213" i="27" s="1"/>
  <c r="D280" i="27" s="1"/>
  <c r="C142" i="27"/>
  <c r="C213" i="27" s="1"/>
  <c r="C280" i="27" s="1"/>
  <c r="E142" i="27"/>
  <c r="E213" i="27" s="1"/>
  <c r="E280" i="27" s="1"/>
  <c r="A214" i="27"/>
  <c r="A144" i="27"/>
  <c r="B143" i="27"/>
  <c r="B214" i="27" l="1"/>
  <c r="B281" i="27" s="1"/>
  <c r="J143" i="27"/>
  <c r="J214" i="27" s="1"/>
  <c r="J281" i="27" s="1"/>
  <c r="I143" i="27"/>
  <c r="I214" i="27" s="1"/>
  <c r="I281" i="27" s="1"/>
  <c r="H143" i="27"/>
  <c r="H214" i="27" s="1"/>
  <c r="H281" i="27" s="1"/>
  <c r="F143" i="27"/>
  <c r="F214" i="27" s="1"/>
  <c r="F281" i="27" s="1"/>
  <c r="D143" i="27"/>
  <c r="D214" i="27" s="1"/>
  <c r="D281" i="27" s="1"/>
  <c r="C143" i="27"/>
  <c r="C214" i="27" s="1"/>
  <c r="C281" i="27" s="1"/>
  <c r="G143" i="27"/>
  <c r="G214" i="27" s="1"/>
  <c r="G281" i="27" s="1"/>
  <c r="E143" i="27"/>
  <c r="E214" i="27" s="1"/>
  <c r="E281" i="27" s="1"/>
  <c r="A215" i="27"/>
  <c r="B144" i="27"/>
  <c r="A145" i="27"/>
  <c r="A216" i="27" l="1"/>
  <c r="B145" i="27"/>
  <c r="A146" i="27"/>
  <c r="B215" i="27"/>
  <c r="B282" i="27" s="1"/>
  <c r="C144" i="27"/>
  <c r="C215" i="27" s="1"/>
  <c r="C282" i="27" s="1"/>
  <c r="J144" i="27"/>
  <c r="J215" i="27" s="1"/>
  <c r="J282" i="27" s="1"/>
  <c r="H144" i="27"/>
  <c r="H215" i="27" s="1"/>
  <c r="H282" i="27" s="1"/>
  <c r="F144" i="27"/>
  <c r="F215" i="27" s="1"/>
  <c r="F282" i="27" s="1"/>
  <c r="E144" i="27"/>
  <c r="E215" i="27" s="1"/>
  <c r="E282" i="27" s="1"/>
  <c r="I144" i="27"/>
  <c r="I215" i="27" s="1"/>
  <c r="I282" i="27" s="1"/>
  <c r="G144" i="27"/>
  <c r="G215" i="27" s="1"/>
  <c r="G282" i="27" s="1"/>
  <c r="D144" i="27"/>
  <c r="D215" i="27" s="1"/>
  <c r="D282" i="27" s="1"/>
  <c r="A217" i="27" l="1"/>
  <c r="B146" i="27"/>
  <c r="A147" i="27"/>
  <c r="B216" i="27"/>
  <c r="B283" i="27" s="1"/>
  <c r="E145" i="27"/>
  <c r="E216" i="27" s="1"/>
  <c r="E283" i="27" s="1"/>
  <c r="D145" i="27"/>
  <c r="D216" i="27" s="1"/>
  <c r="D283" i="27" s="1"/>
  <c r="C145" i="27"/>
  <c r="C216" i="27" s="1"/>
  <c r="C283" i="27" s="1"/>
  <c r="J145" i="27"/>
  <c r="J216" i="27" s="1"/>
  <c r="J283" i="27" s="1"/>
  <c r="H145" i="27"/>
  <c r="H216" i="27" s="1"/>
  <c r="H283" i="27" s="1"/>
  <c r="I145" i="27"/>
  <c r="I216" i="27" s="1"/>
  <c r="I283" i="27" s="1"/>
  <c r="G145" i="27"/>
  <c r="G216" i="27" s="1"/>
  <c r="G283" i="27" s="1"/>
  <c r="F145" i="27"/>
  <c r="F216" i="27" s="1"/>
  <c r="F283" i="27" s="1"/>
  <c r="G146" i="27" l="1"/>
  <c r="G217" i="27" s="1"/>
  <c r="G284" i="27" s="1"/>
  <c r="F146" i="27"/>
  <c r="F217" i="27" s="1"/>
  <c r="F284" i="27" s="1"/>
  <c r="E146" i="27"/>
  <c r="E217" i="27" s="1"/>
  <c r="E284" i="27" s="1"/>
  <c r="B217" i="27"/>
  <c r="B284" i="27" s="1"/>
  <c r="D146" i="27"/>
  <c r="D217" i="27" s="1"/>
  <c r="D284" i="27" s="1"/>
  <c r="C146" i="27"/>
  <c r="C217" i="27" s="1"/>
  <c r="C284" i="27" s="1"/>
  <c r="J146" i="27"/>
  <c r="J217" i="27" s="1"/>
  <c r="J284" i="27" s="1"/>
  <c r="H146" i="27"/>
  <c r="H217" i="27" s="1"/>
  <c r="H284" i="27" s="1"/>
  <c r="I146" i="27"/>
  <c r="I217" i="27" s="1"/>
  <c r="I284" i="27" s="1"/>
  <c r="A218" i="27"/>
  <c r="B147" i="27"/>
  <c r="A148" i="27"/>
  <c r="A149" i="27" l="1"/>
  <c r="B148" i="27"/>
  <c r="A219" i="27"/>
  <c r="I147" i="27"/>
  <c r="I218" i="27" s="1"/>
  <c r="I285" i="27" s="1"/>
  <c r="H147" i="27"/>
  <c r="H218" i="27" s="1"/>
  <c r="H285" i="27" s="1"/>
  <c r="G147" i="27"/>
  <c r="G218" i="27" s="1"/>
  <c r="G285" i="27" s="1"/>
  <c r="F147" i="27"/>
  <c r="F218" i="27" s="1"/>
  <c r="F285" i="27" s="1"/>
  <c r="E147" i="27"/>
  <c r="E218" i="27" s="1"/>
  <c r="E285" i="27" s="1"/>
  <c r="D147" i="27"/>
  <c r="D218" i="27" s="1"/>
  <c r="D285" i="27" s="1"/>
  <c r="C147" i="27"/>
  <c r="C218" i="27" s="1"/>
  <c r="C285" i="27" s="1"/>
  <c r="J147" i="27"/>
  <c r="J218" i="27" s="1"/>
  <c r="J285" i="27" s="1"/>
  <c r="B218" i="27"/>
  <c r="B285" i="27" s="1"/>
  <c r="J148" i="27" l="1"/>
  <c r="J219" i="27" s="1"/>
  <c r="J286" i="27" s="1"/>
  <c r="I148" i="27"/>
  <c r="I219" i="27" s="1"/>
  <c r="I286" i="27" s="1"/>
  <c r="H148" i="27"/>
  <c r="H219" i="27" s="1"/>
  <c r="H286" i="27" s="1"/>
  <c r="G148" i="27"/>
  <c r="G219" i="27" s="1"/>
  <c r="G286" i="27" s="1"/>
  <c r="F148" i="27"/>
  <c r="F219" i="27" s="1"/>
  <c r="F286" i="27" s="1"/>
  <c r="B219" i="27"/>
  <c r="B286" i="27" s="1"/>
  <c r="D148" i="27"/>
  <c r="D219" i="27" s="1"/>
  <c r="D286" i="27" s="1"/>
  <c r="E148" i="27"/>
  <c r="E219" i="27" s="1"/>
  <c r="E286" i="27" s="1"/>
  <c r="C148" i="27"/>
  <c r="C219" i="27" s="1"/>
  <c r="C286" i="27" s="1"/>
  <c r="A220" i="27"/>
  <c r="A150" i="27"/>
  <c r="B149" i="27"/>
  <c r="A221" i="27" l="1"/>
  <c r="B150" i="27"/>
  <c r="A151" i="27"/>
  <c r="B220" i="27"/>
  <c r="B287" i="27" s="1"/>
  <c r="J149" i="27"/>
  <c r="J220" i="27" s="1"/>
  <c r="J287" i="27" s="1"/>
  <c r="I149" i="27"/>
  <c r="I220" i="27" s="1"/>
  <c r="I287" i="27" s="1"/>
  <c r="H149" i="27"/>
  <c r="H220" i="27" s="1"/>
  <c r="H287" i="27" s="1"/>
  <c r="F149" i="27"/>
  <c r="F220" i="27" s="1"/>
  <c r="F287" i="27" s="1"/>
  <c r="D149" i="27"/>
  <c r="D220" i="27" s="1"/>
  <c r="D287" i="27" s="1"/>
  <c r="E149" i="27"/>
  <c r="E220" i="27" s="1"/>
  <c r="E287" i="27" s="1"/>
  <c r="C149" i="27"/>
  <c r="C220" i="27" s="1"/>
  <c r="C287" i="27" s="1"/>
  <c r="G149" i="27"/>
  <c r="G220" i="27" s="1"/>
  <c r="G287" i="27" s="1"/>
  <c r="A222" i="27" l="1"/>
  <c r="B151" i="27"/>
  <c r="A152" i="27"/>
  <c r="B221" i="27"/>
  <c r="B288" i="27" s="1"/>
  <c r="C150" i="27"/>
  <c r="C221" i="27" s="1"/>
  <c r="C288" i="27" s="1"/>
  <c r="J150" i="27"/>
  <c r="J221" i="27" s="1"/>
  <c r="J288" i="27" s="1"/>
  <c r="H150" i="27"/>
  <c r="H221" i="27" s="1"/>
  <c r="H288" i="27" s="1"/>
  <c r="F150" i="27"/>
  <c r="F221" i="27" s="1"/>
  <c r="F288" i="27" s="1"/>
  <c r="I150" i="27"/>
  <c r="I221" i="27" s="1"/>
  <c r="I288" i="27" s="1"/>
  <c r="E150" i="27"/>
  <c r="E221" i="27" s="1"/>
  <c r="E288" i="27" s="1"/>
  <c r="G150" i="27"/>
  <c r="G221" i="27" s="1"/>
  <c r="G288" i="27" s="1"/>
  <c r="D150" i="27"/>
  <c r="D221" i="27" s="1"/>
  <c r="D288" i="27" s="1"/>
  <c r="B222" i="27" l="1"/>
  <c r="B289" i="27" s="1"/>
  <c r="E151" i="27"/>
  <c r="E222" i="27" s="1"/>
  <c r="E289" i="27" s="1"/>
  <c r="D151" i="27"/>
  <c r="D222" i="27" s="1"/>
  <c r="D289" i="27" s="1"/>
  <c r="C151" i="27"/>
  <c r="C222" i="27" s="1"/>
  <c r="C289" i="27" s="1"/>
  <c r="J151" i="27"/>
  <c r="J222" i="27" s="1"/>
  <c r="J289" i="27" s="1"/>
  <c r="H151" i="27"/>
  <c r="H222" i="27" s="1"/>
  <c r="H289" i="27" s="1"/>
  <c r="G151" i="27"/>
  <c r="G222" i="27" s="1"/>
  <c r="G289" i="27" s="1"/>
  <c r="I151" i="27"/>
  <c r="I222" i="27" s="1"/>
  <c r="I289" i="27" s="1"/>
  <c r="F151" i="27"/>
  <c r="F222" i="27" s="1"/>
  <c r="F289" i="27" s="1"/>
  <c r="B152" i="27"/>
  <c r="A223" i="27"/>
  <c r="A153" i="27"/>
  <c r="G152" i="27" l="1"/>
  <c r="G223" i="27" s="1"/>
  <c r="G290" i="27" s="1"/>
  <c r="F152" i="27"/>
  <c r="F223" i="27" s="1"/>
  <c r="F290" i="27" s="1"/>
  <c r="E152" i="27"/>
  <c r="E223" i="27" s="1"/>
  <c r="E290" i="27" s="1"/>
  <c r="D152" i="27"/>
  <c r="D223" i="27" s="1"/>
  <c r="D290" i="27" s="1"/>
  <c r="C152" i="27"/>
  <c r="C223" i="27" s="1"/>
  <c r="C290" i="27" s="1"/>
  <c r="B223" i="27"/>
  <c r="B290" i="27" s="1"/>
  <c r="J152" i="27"/>
  <c r="J223" i="27" s="1"/>
  <c r="J290" i="27" s="1"/>
  <c r="I152" i="27"/>
  <c r="I223" i="27" s="1"/>
  <c r="I290" i="27" s="1"/>
  <c r="H152" i="27"/>
  <c r="H223" i="27" s="1"/>
  <c r="H290" i="27" s="1"/>
  <c r="B153" i="27"/>
  <c r="A224" i="27"/>
  <c r="A154" i="27"/>
  <c r="I153" i="27" l="1"/>
  <c r="I224" i="27" s="1"/>
  <c r="I291" i="27" s="1"/>
  <c r="H153" i="27"/>
  <c r="H224" i="27" s="1"/>
  <c r="H291" i="27" s="1"/>
  <c r="G153" i="27"/>
  <c r="G224" i="27" s="1"/>
  <c r="G291" i="27" s="1"/>
  <c r="F153" i="27"/>
  <c r="F224" i="27" s="1"/>
  <c r="F291" i="27" s="1"/>
  <c r="E153" i="27"/>
  <c r="E224" i="27" s="1"/>
  <c r="E291" i="27" s="1"/>
  <c r="B224" i="27"/>
  <c r="B291" i="27" s="1"/>
  <c r="D153" i="27"/>
  <c r="D224" i="27" s="1"/>
  <c r="D291" i="27" s="1"/>
  <c r="J153" i="27"/>
  <c r="J224" i="27" s="1"/>
  <c r="J291" i="27" s="1"/>
  <c r="C153" i="27"/>
  <c r="C224" i="27" s="1"/>
  <c r="C291" i="27" s="1"/>
  <c r="A155" i="27"/>
  <c r="A225" i="27"/>
  <c r="B154" i="27"/>
  <c r="B225" i="27" l="1"/>
  <c r="B292" i="27" s="1"/>
  <c r="J154" i="27"/>
  <c r="J225" i="27" s="1"/>
  <c r="J292" i="27" s="1"/>
  <c r="I154" i="27"/>
  <c r="I225" i="27" s="1"/>
  <c r="I292" i="27" s="1"/>
  <c r="H154" i="27"/>
  <c r="H225" i="27" s="1"/>
  <c r="H292" i="27" s="1"/>
  <c r="G154" i="27"/>
  <c r="G225" i="27" s="1"/>
  <c r="G292" i="27" s="1"/>
  <c r="F154" i="27"/>
  <c r="F225" i="27" s="1"/>
  <c r="F292" i="27" s="1"/>
  <c r="D154" i="27"/>
  <c r="D225" i="27" s="1"/>
  <c r="D292" i="27" s="1"/>
  <c r="E154" i="27"/>
  <c r="E225" i="27" s="1"/>
  <c r="E292" i="27" s="1"/>
  <c r="C154" i="27"/>
  <c r="C225" i="27" s="1"/>
  <c r="C292" i="27" s="1"/>
  <c r="A226" i="27"/>
  <c r="A156" i="27"/>
  <c r="B155" i="27"/>
  <c r="B226" i="27" l="1"/>
  <c r="B293" i="27" s="1"/>
  <c r="J155" i="27"/>
  <c r="J226" i="27" s="1"/>
  <c r="J293" i="27" s="1"/>
  <c r="I155" i="27"/>
  <c r="I226" i="27" s="1"/>
  <c r="I293" i="27" s="1"/>
  <c r="H155" i="27"/>
  <c r="H226" i="27" s="1"/>
  <c r="H293" i="27" s="1"/>
  <c r="F155" i="27"/>
  <c r="F226" i="27" s="1"/>
  <c r="F293" i="27" s="1"/>
  <c r="D155" i="27"/>
  <c r="D226" i="27" s="1"/>
  <c r="D293" i="27" s="1"/>
  <c r="C155" i="27"/>
  <c r="C226" i="27" s="1"/>
  <c r="C293" i="27" s="1"/>
  <c r="G155" i="27"/>
  <c r="G226" i="27" s="1"/>
  <c r="G293" i="27" s="1"/>
  <c r="E155" i="27"/>
  <c r="E226" i="27" s="1"/>
  <c r="E293" i="27" s="1"/>
  <c r="A227" i="27"/>
  <c r="B156" i="27"/>
  <c r="A157" i="27"/>
  <c r="B227" i="27" l="1"/>
  <c r="B294" i="27" s="1"/>
  <c r="C156" i="27"/>
  <c r="C227" i="27" s="1"/>
  <c r="C294" i="27" s="1"/>
  <c r="J156" i="27"/>
  <c r="J227" i="27" s="1"/>
  <c r="J294" i="27" s="1"/>
  <c r="H156" i="27"/>
  <c r="H227" i="27" s="1"/>
  <c r="H294" i="27" s="1"/>
  <c r="F156" i="27"/>
  <c r="F227" i="27" s="1"/>
  <c r="F294" i="27" s="1"/>
  <c r="G156" i="27"/>
  <c r="G227" i="27" s="1"/>
  <c r="G294" i="27" s="1"/>
  <c r="E156" i="27"/>
  <c r="E227" i="27" s="1"/>
  <c r="E294" i="27" s="1"/>
  <c r="D156" i="27"/>
  <c r="D227" i="27" s="1"/>
  <c r="D294" i="27" s="1"/>
  <c r="I156" i="27"/>
  <c r="I227" i="27" s="1"/>
  <c r="I294" i="27" s="1"/>
  <c r="A228" i="27"/>
  <c r="B157" i="27"/>
  <c r="A158" i="27"/>
  <c r="A229" i="27" l="1"/>
  <c r="B158" i="27"/>
  <c r="A159" i="27"/>
  <c r="B228" i="27"/>
  <c r="B295" i="27" s="1"/>
  <c r="E157" i="27"/>
  <c r="E228" i="27" s="1"/>
  <c r="E295" i="27" s="1"/>
  <c r="D157" i="27"/>
  <c r="D228" i="27" s="1"/>
  <c r="D295" i="27" s="1"/>
  <c r="C157" i="27"/>
  <c r="C228" i="27" s="1"/>
  <c r="C295" i="27" s="1"/>
  <c r="J157" i="27"/>
  <c r="J228" i="27" s="1"/>
  <c r="J295" i="27" s="1"/>
  <c r="H157" i="27"/>
  <c r="H228" i="27" s="1"/>
  <c r="H295" i="27" s="1"/>
  <c r="G157" i="27"/>
  <c r="G228" i="27" s="1"/>
  <c r="G295" i="27" s="1"/>
  <c r="I157" i="27"/>
  <c r="I228" i="27" s="1"/>
  <c r="I295" i="27" s="1"/>
  <c r="F157" i="27"/>
  <c r="F228" i="27" s="1"/>
  <c r="F295" i="27" s="1"/>
  <c r="A230" i="27" l="1"/>
  <c r="B159" i="27"/>
  <c r="A160" i="27"/>
  <c r="G158" i="27"/>
  <c r="G229" i="27" s="1"/>
  <c r="G296" i="27" s="1"/>
  <c r="F158" i="27"/>
  <c r="F229" i="27" s="1"/>
  <c r="F296" i="27" s="1"/>
  <c r="E158" i="27"/>
  <c r="E229" i="27" s="1"/>
  <c r="E296" i="27" s="1"/>
  <c r="B229" i="27"/>
  <c r="B296" i="27" s="1"/>
  <c r="D158" i="27"/>
  <c r="D229" i="27" s="1"/>
  <c r="D296" i="27" s="1"/>
  <c r="C158" i="27"/>
  <c r="C229" i="27" s="1"/>
  <c r="C296" i="27" s="1"/>
  <c r="J158" i="27"/>
  <c r="J229" i="27" s="1"/>
  <c r="J296" i="27" s="1"/>
  <c r="I158" i="27"/>
  <c r="I229" i="27" s="1"/>
  <c r="I296" i="27" s="1"/>
  <c r="H158" i="27"/>
  <c r="H229" i="27" s="1"/>
  <c r="H296" i="27" s="1"/>
  <c r="A161" i="27" l="1"/>
  <c r="B160" i="27"/>
  <c r="A231" i="27"/>
  <c r="I159" i="27"/>
  <c r="I230" i="27" s="1"/>
  <c r="I297" i="27" s="1"/>
  <c r="H159" i="27"/>
  <c r="H230" i="27" s="1"/>
  <c r="H297" i="27" s="1"/>
  <c r="G159" i="27"/>
  <c r="G230" i="27" s="1"/>
  <c r="G297" i="27" s="1"/>
  <c r="F159" i="27"/>
  <c r="F230" i="27" s="1"/>
  <c r="F297" i="27" s="1"/>
  <c r="E159" i="27"/>
  <c r="E230" i="27" s="1"/>
  <c r="E297" i="27" s="1"/>
  <c r="D159" i="27"/>
  <c r="D230" i="27" s="1"/>
  <c r="D297" i="27" s="1"/>
  <c r="B230" i="27"/>
  <c r="B297" i="27" s="1"/>
  <c r="J159" i="27"/>
  <c r="J230" i="27" s="1"/>
  <c r="J297" i="27" s="1"/>
  <c r="C159" i="27"/>
  <c r="C230" i="27" s="1"/>
  <c r="C297" i="27" s="1"/>
  <c r="J160" i="27" l="1"/>
  <c r="J231" i="27" s="1"/>
  <c r="J298" i="27" s="1"/>
  <c r="I160" i="27"/>
  <c r="I231" i="27" s="1"/>
  <c r="I298" i="27" s="1"/>
  <c r="H160" i="27"/>
  <c r="H231" i="27" s="1"/>
  <c r="H298" i="27" s="1"/>
  <c r="G160" i="27"/>
  <c r="G231" i="27" s="1"/>
  <c r="G298" i="27" s="1"/>
  <c r="F160" i="27"/>
  <c r="F231" i="27" s="1"/>
  <c r="F298" i="27" s="1"/>
  <c r="B231" i="27"/>
  <c r="B298" i="27" s="1"/>
  <c r="D160" i="27"/>
  <c r="D231" i="27" s="1"/>
  <c r="D298" i="27" s="1"/>
  <c r="C160" i="27"/>
  <c r="C231" i="27" s="1"/>
  <c r="C298" i="27" s="1"/>
  <c r="E160" i="27"/>
  <c r="E231" i="27" s="1"/>
  <c r="E298" i="27" s="1"/>
  <c r="A232" i="27"/>
  <c r="A162" i="27"/>
  <c r="B161" i="27"/>
  <c r="A233" i="27" l="1"/>
  <c r="B162" i="27"/>
  <c r="A163" i="27"/>
  <c r="B232" i="27"/>
  <c r="B299" i="27" s="1"/>
  <c r="J161" i="27"/>
  <c r="J232" i="27" s="1"/>
  <c r="J299" i="27" s="1"/>
  <c r="I161" i="27"/>
  <c r="I232" i="27" s="1"/>
  <c r="I299" i="27" s="1"/>
  <c r="H161" i="27"/>
  <c r="H232" i="27" s="1"/>
  <c r="H299" i="27" s="1"/>
  <c r="F161" i="27"/>
  <c r="F232" i="27" s="1"/>
  <c r="F299" i="27" s="1"/>
  <c r="D161" i="27"/>
  <c r="D232" i="27" s="1"/>
  <c r="D299" i="27" s="1"/>
  <c r="C161" i="27"/>
  <c r="C232" i="27" s="1"/>
  <c r="C299" i="27" s="1"/>
  <c r="G161" i="27"/>
  <c r="G232" i="27" s="1"/>
  <c r="G299" i="27" s="1"/>
  <c r="E161" i="27"/>
  <c r="E232" i="27" s="1"/>
  <c r="E299" i="27" s="1"/>
  <c r="A234" i="27" l="1"/>
  <c r="B163" i="27"/>
  <c r="A164" i="27"/>
  <c r="B233" i="27"/>
  <c r="B300" i="27" s="1"/>
  <c r="C162" i="27"/>
  <c r="C233" i="27" s="1"/>
  <c r="C300" i="27" s="1"/>
  <c r="J162" i="27"/>
  <c r="J233" i="27" s="1"/>
  <c r="J300" i="27" s="1"/>
  <c r="H162" i="27"/>
  <c r="H233" i="27" s="1"/>
  <c r="H300" i="27" s="1"/>
  <c r="F162" i="27"/>
  <c r="F233" i="27" s="1"/>
  <c r="F300" i="27" s="1"/>
  <c r="E162" i="27"/>
  <c r="E233" i="27" s="1"/>
  <c r="E300" i="27" s="1"/>
  <c r="D162" i="27"/>
  <c r="D233" i="27" s="1"/>
  <c r="D300" i="27" s="1"/>
  <c r="I162" i="27"/>
  <c r="I233" i="27" s="1"/>
  <c r="I300" i="27" s="1"/>
  <c r="G162" i="27"/>
  <c r="G233" i="27" s="1"/>
  <c r="G300" i="27" s="1"/>
  <c r="B164" i="27" l="1"/>
  <c r="A235" i="27"/>
  <c r="A165" i="27"/>
  <c r="B234" i="27"/>
  <c r="B301" i="27" s="1"/>
  <c r="E163" i="27"/>
  <c r="E234" i="27" s="1"/>
  <c r="E301" i="27" s="1"/>
  <c r="D163" i="27"/>
  <c r="D234" i="27" s="1"/>
  <c r="D301" i="27" s="1"/>
  <c r="C163" i="27"/>
  <c r="C234" i="27" s="1"/>
  <c r="C301" i="27" s="1"/>
  <c r="J163" i="27"/>
  <c r="J234" i="27" s="1"/>
  <c r="J301" i="27" s="1"/>
  <c r="H163" i="27"/>
  <c r="H234" i="27" s="1"/>
  <c r="H301" i="27" s="1"/>
  <c r="I163" i="27"/>
  <c r="I234" i="27" s="1"/>
  <c r="I301" i="27" s="1"/>
  <c r="G163" i="27"/>
  <c r="G234" i="27" s="1"/>
  <c r="G301" i="27" s="1"/>
  <c r="F163" i="27"/>
  <c r="F234" i="27" s="1"/>
  <c r="F301" i="27" s="1"/>
  <c r="B165" i="27" l="1"/>
  <c r="A236" i="27"/>
  <c r="A166" i="27"/>
  <c r="G164" i="27"/>
  <c r="G235" i="27" s="1"/>
  <c r="G302" i="27" s="1"/>
  <c r="F164" i="27"/>
  <c r="F235" i="27" s="1"/>
  <c r="F302" i="27" s="1"/>
  <c r="E164" i="27"/>
  <c r="E235" i="27" s="1"/>
  <c r="E302" i="27" s="1"/>
  <c r="D164" i="27"/>
  <c r="D235" i="27" s="1"/>
  <c r="D302" i="27" s="1"/>
  <c r="C164" i="27"/>
  <c r="C235" i="27" s="1"/>
  <c r="C302" i="27" s="1"/>
  <c r="B235" i="27"/>
  <c r="B302" i="27" s="1"/>
  <c r="J164" i="27"/>
  <c r="J235" i="27" s="1"/>
  <c r="J302" i="27" s="1"/>
  <c r="I164" i="27"/>
  <c r="I235" i="27" s="1"/>
  <c r="I302" i="27" s="1"/>
  <c r="H164" i="27"/>
  <c r="H235" i="27" s="1"/>
  <c r="H302" i="27" s="1"/>
  <c r="A167" i="27" l="1"/>
  <c r="A237" i="27"/>
  <c r="B166" i="27"/>
  <c r="I165" i="27"/>
  <c r="I236" i="27" s="1"/>
  <c r="I303" i="27" s="1"/>
  <c r="H165" i="27"/>
  <c r="H236" i="27" s="1"/>
  <c r="H303" i="27" s="1"/>
  <c r="G165" i="27"/>
  <c r="G236" i="27" s="1"/>
  <c r="G303" i="27" s="1"/>
  <c r="F165" i="27"/>
  <c r="F236" i="27" s="1"/>
  <c r="F303" i="27" s="1"/>
  <c r="E165" i="27"/>
  <c r="E236" i="27" s="1"/>
  <c r="E303" i="27" s="1"/>
  <c r="B236" i="27"/>
  <c r="B303" i="27" s="1"/>
  <c r="D165" i="27"/>
  <c r="D236" i="27" s="1"/>
  <c r="D303" i="27" s="1"/>
  <c r="J165" i="27"/>
  <c r="J236" i="27" s="1"/>
  <c r="J303" i="27" s="1"/>
  <c r="C165" i="27"/>
  <c r="C236" i="27" s="1"/>
  <c r="C303" i="27" s="1"/>
  <c r="B237" i="27" l="1"/>
  <c r="B304" i="27" s="1"/>
  <c r="J166" i="27"/>
  <c r="J237" i="27" s="1"/>
  <c r="J304" i="27" s="1"/>
  <c r="I166" i="27"/>
  <c r="I237" i="27" s="1"/>
  <c r="I304" i="27" s="1"/>
  <c r="H166" i="27"/>
  <c r="H237" i="27" s="1"/>
  <c r="H304" i="27" s="1"/>
  <c r="G166" i="27"/>
  <c r="G237" i="27" s="1"/>
  <c r="G304" i="27" s="1"/>
  <c r="F166" i="27"/>
  <c r="F237" i="27" s="1"/>
  <c r="F304" i="27" s="1"/>
  <c r="D166" i="27"/>
  <c r="D237" i="27" s="1"/>
  <c r="D304" i="27" s="1"/>
  <c r="E166" i="27"/>
  <c r="E237" i="27" s="1"/>
  <c r="E304" i="27" s="1"/>
  <c r="C166" i="27"/>
  <c r="C237" i="27" s="1"/>
  <c r="C304" i="27" s="1"/>
  <c r="A238" i="27"/>
  <c r="A168" i="27"/>
  <c r="B167" i="27"/>
  <c r="B238" i="27" l="1"/>
  <c r="B305" i="27" s="1"/>
  <c r="J167" i="27"/>
  <c r="J238" i="27" s="1"/>
  <c r="J305" i="27" s="1"/>
  <c r="I167" i="27"/>
  <c r="I238" i="27" s="1"/>
  <c r="I305" i="27" s="1"/>
  <c r="H167" i="27"/>
  <c r="H238" i="27" s="1"/>
  <c r="H305" i="27" s="1"/>
  <c r="F167" i="27"/>
  <c r="F238" i="27" s="1"/>
  <c r="F305" i="27" s="1"/>
  <c r="D167" i="27"/>
  <c r="D238" i="27" s="1"/>
  <c r="D305" i="27" s="1"/>
  <c r="E167" i="27"/>
  <c r="E238" i="27" s="1"/>
  <c r="E305" i="27" s="1"/>
  <c r="C167" i="27"/>
  <c r="C238" i="27" s="1"/>
  <c r="C305" i="27" s="1"/>
  <c r="G167" i="27"/>
  <c r="G238" i="27" s="1"/>
  <c r="G305" i="27" s="1"/>
  <c r="A239" i="27"/>
  <c r="B168" i="27"/>
  <c r="A169" i="27"/>
  <c r="A240" i="27" l="1"/>
  <c r="B169" i="27"/>
  <c r="A170" i="27"/>
  <c r="B239" i="27"/>
  <c r="B306" i="27" s="1"/>
  <c r="C168" i="27"/>
  <c r="C239" i="27" s="1"/>
  <c r="C306" i="27" s="1"/>
  <c r="J168" i="27"/>
  <c r="J239" i="27" s="1"/>
  <c r="J306" i="27" s="1"/>
  <c r="H168" i="27"/>
  <c r="H239" i="27" s="1"/>
  <c r="H306" i="27" s="1"/>
  <c r="F168" i="27"/>
  <c r="F239" i="27" s="1"/>
  <c r="F306" i="27" s="1"/>
  <c r="E168" i="27"/>
  <c r="E239" i="27" s="1"/>
  <c r="E306" i="27" s="1"/>
  <c r="I168" i="27"/>
  <c r="I239" i="27" s="1"/>
  <c r="I306" i="27" s="1"/>
  <c r="G168" i="27"/>
  <c r="G239" i="27" s="1"/>
  <c r="G306" i="27" s="1"/>
  <c r="D168" i="27"/>
  <c r="D239" i="27" s="1"/>
  <c r="D306" i="27" s="1"/>
  <c r="A241" i="27" l="1"/>
  <c r="B170" i="27"/>
  <c r="A171" i="27"/>
  <c r="B240" i="27"/>
  <c r="B307" i="27" s="1"/>
  <c r="E169" i="27"/>
  <c r="E240" i="27" s="1"/>
  <c r="E307" i="27" s="1"/>
  <c r="D169" i="27"/>
  <c r="D240" i="27" s="1"/>
  <c r="D307" i="27" s="1"/>
  <c r="C169" i="27"/>
  <c r="C240" i="27" s="1"/>
  <c r="C307" i="27" s="1"/>
  <c r="J169" i="27"/>
  <c r="J240" i="27" s="1"/>
  <c r="J307" i="27" s="1"/>
  <c r="H169" i="27"/>
  <c r="H240" i="27" s="1"/>
  <c r="H307" i="27" s="1"/>
  <c r="G169" i="27"/>
  <c r="G240" i="27" s="1"/>
  <c r="G307" i="27" s="1"/>
  <c r="I169" i="27"/>
  <c r="I240" i="27" s="1"/>
  <c r="I307" i="27" s="1"/>
  <c r="F169" i="27"/>
  <c r="F240" i="27" s="1"/>
  <c r="F307" i="27" s="1"/>
  <c r="A242" i="27" l="1"/>
  <c r="B171" i="27"/>
  <c r="A172" i="27"/>
  <c r="G170" i="27"/>
  <c r="G241" i="27" s="1"/>
  <c r="G308" i="27" s="1"/>
  <c r="F170" i="27"/>
  <c r="F241" i="27" s="1"/>
  <c r="F308" i="27" s="1"/>
  <c r="E170" i="27"/>
  <c r="E241" i="27" s="1"/>
  <c r="E308" i="27" s="1"/>
  <c r="B241" i="27"/>
  <c r="B308" i="27" s="1"/>
  <c r="D170" i="27"/>
  <c r="D241" i="27" s="1"/>
  <c r="D308" i="27" s="1"/>
  <c r="C170" i="27"/>
  <c r="C241" i="27" s="1"/>
  <c r="C308" i="27" s="1"/>
  <c r="J170" i="27"/>
  <c r="J241" i="27" s="1"/>
  <c r="J308" i="27" s="1"/>
  <c r="I170" i="27"/>
  <c r="I241" i="27" s="1"/>
  <c r="I308" i="27" s="1"/>
  <c r="H170" i="27"/>
  <c r="H241" i="27" s="1"/>
  <c r="H308" i="27" s="1"/>
  <c r="A243" i="27" l="1"/>
  <c r="B172" i="27"/>
  <c r="I171" i="27"/>
  <c r="I242" i="27" s="1"/>
  <c r="I309" i="27" s="1"/>
  <c r="H171" i="27"/>
  <c r="H242" i="27" s="1"/>
  <c r="H309" i="27" s="1"/>
  <c r="G171" i="27"/>
  <c r="G242" i="27" s="1"/>
  <c r="G309" i="27" s="1"/>
  <c r="F171" i="27"/>
  <c r="F242" i="27" s="1"/>
  <c r="F309" i="27" s="1"/>
  <c r="E171" i="27"/>
  <c r="E242" i="27" s="1"/>
  <c r="E309" i="27" s="1"/>
  <c r="D171" i="27"/>
  <c r="D242" i="27" s="1"/>
  <c r="D309" i="27" s="1"/>
  <c r="B242" i="27"/>
  <c r="B309" i="27" s="1"/>
  <c r="J171" i="27"/>
  <c r="J242" i="27" s="1"/>
  <c r="J309" i="27" s="1"/>
  <c r="C171" i="27"/>
  <c r="C242" i="27" s="1"/>
  <c r="C309" i="27" s="1"/>
  <c r="J172" i="27" l="1"/>
  <c r="J243" i="27" s="1"/>
  <c r="J310" i="27" s="1"/>
  <c r="I172" i="27"/>
  <c r="I243" i="27" s="1"/>
  <c r="I310" i="27" s="1"/>
  <c r="H172" i="27"/>
  <c r="H243" i="27" s="1"/>
  <c r="H310" i="27" s="1"/>
  <c r="G172" i="27"/>
  <c r="G243" i="27" s="1"/>
  <c r="G310" i="27" s="1"/>
  <c r="F172" i="27"/>
  <c r="F243" i="27" s="1"/>
  <c r="F310" i="27" s="1"/>
  <c r="B243" i="27"/>
  <c r="B310" i="27" s="1"/>
  <c r="D172" i="27"/>
  <c r="D243" i="27" s="1"/>
  <c r="D310" i="27" s="1"/>
  <c r="E172" i="27"/>
  <c r="E243" i="27" s="1"/>
  <c r="E310" i="27" s="1"/>
  <c r="C172" i="27"/>
  <c r="C243" i="27" s="1"/>
  <c r="C310" i="27" s="1"/>
  <c r="N18" i="4" l="1"/>
  <c r="J153" i="4" l="1"/>
  <c r="J53" i="4"/>
  <c r="P169" i="4"/>
  <c r="U169" i="4" s="1"/>
  <c r="P177" i="4"/>
  <c r="U177" i="4" s="1"/>
  <c r="P166" i="4"/>
  <c r="U166" i="4" s="1"/>
  <c r="P146" i="4" l="1"/>
  <c r="P147" i="4"/>
  <c r="P148" i="4"/>
  <c r="P149" i="4"/>
  <c r="P150" i="4"/>
  <c r="P151" i="4"/>
  <c r="P145" i="4"/>
  <c r="P159" i="4" l="1"/>
  <c r="P155" i="4"/>
  <c r="H206" i="4" l="1"/>
  <c r="H198" i="4"/>
  <c r="H207" i="4"/>
  <c r="H208" i="4"/>
  <c r="U192" i="4" s="1"/>
  <c r="H197" i="4"/>
  <c r="U181" i="4" s="1"/>
  <c r="H199" i="4"/>
  <c r="H200" i="4"/>
  <c r="U184" i="4" s="1"/>
  <c r="H201" i="4"/>
  <c r="H202" i="4"/>
  <c r="H204" i="4"/>
  <c r="H205" i="4"/>
  <c r="H203" i="4"/>
  <c r="E360" i="4"/>
  <c r="U187" i="4" l="1"/>
  <c r="K203" i="4"/>
  <c r="U189" i="4"/>
  <c r="K205" i="4"/>
  <c r="U188" i="4"/>
  <c r="K204" i="4"/>
  <c r="U186" i="4"/>
  <c r="K202" i="4"/>
  <c r="U185" i="4"/>
  <c r="K201" i="4"/>
  <c r="U183" i="4"/>
  <c r="K199" i="4"/>
  <c r="U191" i="4"/>
  <c r="K207" i="4"/>
  <c r="U182" i="4"/>
  <c r="K198" i="4"/>
  <c r="U190" i="4"/>
  <c r="K206" i="4"/>
  <c r="Y343" i="4"/>
  <c r="Y344" i="4"/>
  <c r="Y342" i="4"/>
  <c r="Q306" i="4"/>
  <c r="Q305" i="4" a="1"/>
  <c r="Q305" i="4" s="1"/>
  <c r="X317" i="4" l="1"/>
  <c r="X318" i="4" l="1"/>
  <c r="Q307" i="4" s="1"/>
  <c r="Q268" i="4"/>
  <c r="H18" i="4"/>
  <c r="E200" i="4"/>
  <c r="E208" i="4"/>
  <c r="E197" i="4"/>
  <c r="B165" i="4"/>
  <c r="B196" i="4" s="1"/>
  <c r="J50" i="4"/>
  <c r="J56" i="4"/>
  <c r="J64" i="4"/>
  <c r="B52" i="4"/>
  <c r="L63" i="4" l="1"/>
  <c r="N63" i="4" s="1"/>
  <c r="P63" i="4" s="1"/>
  <c r="B176" i="4" s="1"/>
  <c r="B207" i="4" s="1"/>
  <c r="N207" i="4" s="1"/>
  <c r="B315" i="4" s="1"/>
  <c r="L57" i="4"/>
  <c r="N57" i="4" s="1"/>
  <c r="P57" i="4" s="1"/>
  <c r="B170" i="4" s="1"/>
  <c r="B201" i="4" s="1"/>
  <c r="N201" i="4" s="1"/>
  <c r="B309" i="4" s="1"/>
  <c r="L60" i="4"/>
  <c r="N60" i="4" s="1"/>
  <c r="P60" i="4" s="1"/>
  <c r="B173" i="4" s="1"/>
  <c r="B204" i="4" s="1"/>
  <c r="N204" i="4" s="1"/>
  <c r="B312" i="4" s="1"/>
  <c r="L59" i="4"/>
  <c r="N59" i="4" s="1"/>
  <c r="P59" i="4" s="1"/>
  <c r="B172" i="4" s="1"/>
  <c r="B203" i="4" s="1"/>
  <c r="N203" i="4" s="1"/>
  <c r="B311" i="4" s="1"/>
  <c r="L62" i="4"/>
  <c r="N62" i="4" s="1"/>
  <c r="P62" i="4" s="1"/>
  <c r="B175" i="4" s="1"/>
  <c r="B206" i="4" s="1"/>
  <c r="N206" i="4" s="1"/>
  <c r="B314" i="4" s="1"/>
  <c r="L58" i="4"/>
  <c r="N58" i="4" s="1"/>
  <c r="P58" i="4" s="1"/>
  <c r="B171" i="4" s="1"/>
  <c r="B202" i="4" s="1"/>
  <c r="N202" i="4" s="1"/>
  <c r="B310" i="4" s="1"/>
  <c r="L61" i="4"/>
  <c r="N61" i="4" s="1"/>
  <c r="P61" i="4" s="1"/>
  <c r="B174" i="4" s="1"/>
  <c r="B205" i="4" s="1"/>
  <c r="N205" i="4" s="1"/>
  <c r="B313" i="4" s="1"/>
  <c r="L53" i="4"/>
  <c r="N53" i="4" s="1"/>
  <c r="L54" i="4"/>
  <c r="N54" i="4" s="1"/>
  <c r="L55" i="4"/>
  <c r="N55" i="4" s="1"/>
  <c r="P55" i="4" s="1"/>
  <c r="B168" i="4" s="1"/>
  <c r="B199" i="4" s="1"/>
  <c r="N199" i="4" s="1"/>
  <c r="L64" i="4"/>
  <c r="N64" i="4" s="1"/>
  <c r="L56" i="4"/>
  <c r="N56" i="4" s="1"/>
  <c r="B239" i="4" l="1"/>
  <c r="B273" i="4"/>
  <c r="B243" i="4"/>
  <c r="B277" i="4"/>
  <c r="B242" i="4"/>
  <c r="B276" i="4"/>
  <c r="B241" i="4"/>
  <c r="B275" i="4"/>
  <c r="B238" i="4"/>
  <c r="B272" i="4"/>
  <c r="B240" i="4"/>
  <c r="B274" i="4"/>
  <c r="B244" i="4"/>
  <c r="B278" i="4"/>
  <c r="B307" i="4"/>
  <c r="B270" i="4"/>
  <c r="B236" i="4"/>
  <c r="K197" i="4"/>
  <c r="K200" i="4"/>
  <c r="K208" i="4"/>
  <c r="N19" i="4" l="1"/>
  <c r="N29" i="4"/>
  <c r="H19" i="4"/>
  <c r="H29" i="4"/>
  <c r="P29" i="4" l="1"/>
  <c r="P19" i="4"/>
  <c r="B54" i="4" s="1"/>
  <c r="P18" i="4"/>
  <c r="P31" i="4" l="1"/>
  <c r="B64" i="4"/>
  <c r="P64" i="4" s="1"/>
  <c r="B177" i="4" s="1"/>
  <c r="B208" i="4" s="1"/>
  <c r="N208" i="4" s="1"/>
  <c r="B316" i="4" s="1"/>
  <c r="P56" i="4"/>
  <c r="B169" i="4" s="1"/>
  <c r="B200" i="4" s="1"/>
  <c r="N200" i="4" s="1"/>
  <c r="B308" i="4" s="1"/>
  <c r="P54" i="4"/>
  <c r="B53" i="4"/>
  <c r="P53" i="4" s="1"/>
  <c r="B166" i="4" s="1"/>
  <c r="B197" i="4" s="1"/>
  <c r="N197" i="4" s="1"/>
  <c r="P32" i="4"/>
  <c r="B279" i="4" l="1"/>
  <c r="B245" i="4"/>
  <c r="B167" i="4"/>
  <c r="B198" i="4" s="1"/>
  <c r="N198" i="4" s="1"/>
  <c r="B306" i="4" s="1"/>
  <c r="P66" i="4"/>
  <c r="B237" i="4"/>
  <c r="B271" i="4"/>
  <c r="B305" i="4"/>
  <c r="B268" i="4"/>
  <c r="B234" i="4"/>
  <c r="P67" i="4"/>
  <c r="P33" i="4"/>
  <c r="P211" i="4" l="1"/>
  <c r="B269" i="4"/>
  <c r="P270" i="4" s="1"/>
  <c r="B235" i="4"/>
  <c r="P235" i="4" s="1"/>
  <c r="P210" i="4"/>
  <c r="P315" i="4"/>
  <c r="P314" i="4"/>
  <c r="P309" i="4"/>
  <c r="P310" i="4"/>
  <c r="P68" i="4"/>
  <c r="P271" i="4" l="1"/>
  <c r="K343" i="4" s="1"/>
  <c r="AA343" i="4" s="1"/>
  <c r="P275" i="4"/>
  <c r="P276" i="4"/>
  <c r="P244" i="4"/>
  <c r="K342" i="4" s="1"/>
  <c r="AA342" i="4" s="1"/>
  <c r="P238" i="4"/>
  <c r="P239" i="4"/>
  <c r="Y329" i="4"/>
  <c r="Y333" i="4"/>
  <c r="Y331" i="4"/>
  <c r="Y335" i="4"/>
  <c r="Y330" i="4"/>
  <c r="Y334" i="4"/>
  <c r="Y332" i="4"/>
  <c r="Y294" i="4"/>
  <c r="Y289" i="4"/>
  <c r="Y290" i="4"/>
  <c r="Y295" i="4"/>
  <c r="Y292" i="4"/>
  <c r="Y291" i="4"/>
  <c r="Y293" i="4"/>
  <c r="Y250" i="4"/>
  <c r="Y252" i="4"/>
  <c r="Y249" i="4"/>
  <c r="Y246" i="4"/>
  <c r="Y251" i="4"/>
  <c r="Y247" i="4"/>
  <c r="Y248" i="4"/>
  <c r="P212" i="4"/>
  <c r="Y327" i="4"/>
  <c r="Y328" i="4"/>
  <c r="Y287" i="4"/>
  <c r="Y288" i="4"/>
  <c r="Y244" i="4"/>
  <c r="Y245" i="4"/>
  <c r="Y241" i="4"/>
  <c r="Y242" i="4"/>
  <c r="Y243" i="4"/>
  <c r="Y286" i="4"/>
  <c r="Y285" i="4"/>
  <c r="Y284" i="4"/>
  <c r="G343" i="4"/>
  <c r="Z343" i="4" s="1"/>
  <c r="G342" i="4"/>
  <c r="Z342" i="4" s="1"/>
  <c r="P282" i="4"/>
  <c r="O343" i="4" s="1"/>
  <c r="X343" i="4" s="1"/>
  <c r="P237" i="4"/>
  <c r="P236" i="4"/>
  <c r="P274" i="4" l="1"/>
  <c r="W289" i="4" s="1"/>
  <c r="P273" i="4"/>
  <c r="X292" i="4" s="1"/>
  <c r="P281" i="4"/>
  <c r="P245" i="4"/>
  <c r="O342" i="4" s="1"/>
  <c r="X295" i="4"/>
  <c r="P241" i="4" a="1"/>
  <c r="P241" i="4" s="1"/>
  <c r="X248" i="4"/>
  <c r="X252" i="4"/>
  <c r="X246" i="4"/>
  <c r="X250" i="4"/>
  <c r="X249" i="4"/>
  <c r="X247" i="4"/>
  <c r="X251" i="4"/>
  <c r="W246" i="4"/>
  <c r="W250" i="4"/>
  <c r="W248" i="4"/>
  <c r="W252" i="4"/>
  <c r="W247" i="4"/>
  <c r="W251" i="4"/>
  <c r="W249" i="4"/>
  <c r="W288" i="4"/>
  <c r="X244" i="4"/>
  <c r="X245" i="4"/>
  <c r="W244" i="4"/>
  <c r="W245" i="4"/>
  <c r="X242" i="4"/>
  <c r="X241" i="4"/>
  <c r="X243" i="4"/>
  <c r="W241" i="4"/>
  <c r="W242" i="4"/>
  <c r="W243" i="4"/>
  <c r="W285" i="4"/>
  <c r="W286" i="4"/>
  <c r="AD280" i="4"/>
  <c r="AD281" i="4"/>
  <c r="X342" i="4"/>
  <c r="P278" i="4" l="1" a="1"/>
  <c r="P278" i="4" s="1"/>
  <c r="P279" i="4" s="1"/>
  <c r="X294" i="4"/>
  <c r="AD283" i="4"/>
  <c r="W284" i="4"/>
  <c r="W287" i="4"/>
  <c r="X290" i="4"/>
  <c r="AD271" i="4"/>
  <c r="X288" i="4"/>
  <c r="W290" i="4"/>
  <c r="AD268" i="4"/>
  <c r="X287" i="4"/>
  <c r="W293" i="4"/>
  <c r="AD282" i="4"/>
  <c r="W292" i="4"/>
  <c r="W295" i="4"/>
  <c r="W291" i="4"/>
  <c r="AD279" i="4"/>
  <c r="X289" i="4"/>
  <c r="W294" i="4"/>
  <c r="X284" i="4"/>
  <c r="X291" i="4"/>
  <c r="X286" i="4"/>
  <c r="X293" i="4"/>
  <c r="X285" i="4"/>
  <c r="N241" i="4"/>
  <c r="P242" i="4"/>
  <c r="N278" i="4" l="1"/>
  <c r="Y325" i="4"/>
  <c r="Y324" i="4"/>
  <c r="Y326" i="4"/>
  <c r="G344" i="4"/>
  <c r="Z344" i="4" s="1"/>
  <c r="P313" i="4"/>
  <c r="P312" i="4"/>
  <c r="P321" i="4"/>
  <c r="O344" i="4" s="1"/>
  <c r="P320" i="4"/>
  <c r="K344" i="4" s="1"/>
  <c r="AA344" i="4" s="1"/>
  <c r="X329" i="4" l="1"/>
  <c r="X333" i="4"/>
  <c r="X332" i="4"/>
  <c r="X330" i="4"/>
  <c r="X334" i="4"/>
  <c r="X331" i="4"/>
  <c r="X335" i="4"/>
  <c r="W329" i="4"/>
  <c r="W333" i="4"/>
  <c r="W330" i="4"/>
  <c r="W334" i="4"/>
  <c r="W335" i="4"/>
  <c r="W332" i="4"/>
  <c r="W331" i="4"/>
  <c r="X327" i="4"/>
  <c r="X328" i="4"/>
  <c r="W327" i="4"/>
  <c r="W328" i="4"/>
  <c r="X326" i="4"/>
  <c r="X324" i="4"/>
  <c r="X325" i="4"/>
  <c r="W325" i="4"/>
  <c r="W326" i="4"/>
  <c r="W324" i="4"/>
  <c r="X344" i="4"/>
  <c r="G346" i="4"/>
  <c r="G349" i="4" s="1"/>
  <c r="E357" i="4" s="1"/>
  <c r="P317" i="4" a="1"/>
  <c r="P317" i="4" s="1"/>
  <c r="G348" i="4" l="1"/>
  <c r="E356" i="4" s="1"/>
  <c r="G347" i="4"/>
  <c r="N317" i="4"/>
  <c r="P318" i="4"/>
  <c r="M385" i="4" l="1"/>
  <c r="M386" i="4" s="1"/>
  <c r="L447" i="4" s="1"/>
  <c r="E366" i="4"/>
  <c r="E365" i="4"/>
  <c r="O366" i="4"/>
  <c r="X452" i="4" l="1"/>
  <c r="L450" i="4"/>
  <c r="L453" i="4" s="1"/>
  <c r="L476" i="4" s="1"/>
  <c r="L473" i="4" s="1"/>
  <c r="L474" i="4" s="1"/>
  <c r="S472" i="4" s="1"/>
  <c r="O365" i="4"/>
  <c r="O367" i="4" s="1"/>
  <c r="A369" i="4" s="1" a="1"/>
  <c r="A369" i="4" s="1"/>
  <c r="W453" i="4" l="1"/>
  <c r="W452" i="4"/>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<sst xmlns="http://schemas.openxmlformats.org/spreadsheetml/2006/main" count="702" uniqueCount="502">
  <si>
    <t>Topografia</t>
  </si>
  <si>
    <t>Pavimentação</t>
  </si>
  <si>
    <t>Metrô</t>
  </si>
  <si>
    <t>Situação:</t>
  </si>
  <si>
    <t>Formato:</t>
  </si>
  <si>
    <t>Testada:</t>
  </si>
  <si>
    <t>Fração ideal:</t>
  </si>
  <si>
    <t>Regular</t>
  </si>
  <si>
    <t>Ocupação:</t>
  </si>
  <si>
    <t>Playground</t>
  </si>
  <si>
    <t>Interfone</t>
  </si>
  <si>
    <t>Quadra</t>
  </si>
  <si>
    <t>Sauna</t>
  </si>
  <si>
    <t>Churrasqueira</t>
  </si>
  <si>
    <t>Fator de oferta aplicável</t>
  </si>
  <si>
    <t>Fator</t>
  </si>
  <si>
    <t>Negociação concluída</t>
  </si>
  <si>
    <t>Item</t>
  </si>
  <si>
    <t>Área</t>
  </si>
  <si>
    <t>Valor unitário
(R$/m²)</t>
  </si>
  <si>
    <t>VALOR UNITÁRIO E AJUSTE PRÉVIO AO FATOR DE OFERTA</t>
  </si>
  <si>
    <t>Fator aplicável</t>
  </si>
  <si>
    <t>Valor unitário ajustado</t>
  </si>
  <si>
    <t>Fator de homogeneização</t>
  </si>
  <si>
    <t>Fator de testada</t>
  </si>
  <si>
    <t>Fator de profundidade</t>
  </si>
  <si>
    <t>Fator de esquina</t>
  </si>
  <si>
    <t>Fator de topografia</t>
  </si>
  <si>
    <t>Fator de consistência do solo</t>
  </si>
  <si>
    <t>HOMOGENEIZAÇÃO</t>
  </si>
  <si>
    <t>Somatório</t>
  </si>
  <si>
    <t>Somatório do bem avaliando</t>
  </si>
  <si>
    <t>Valor unitário homogeneizado</t>
  </si>
  <si>
    <t>Bem avaliando</t>
  </si>
  <si>
    <t>Fatores</t>
  </si>
  <si>
    <t>Coeficiente de variação</t>
  </si>
  <si>
    <t>Média</t>
  </si>
  <si>
    <t>Desvio-padrão</t>
  </si>
  <si>
    <t>MELHORAMENTOS PÚBLICOS</t>
  </si>
  <si>
    <t>Coeficientes</t>
  </si>
  <si>
    <t>Melhoramentos públicos</t>
  </si>
  <si>
    <t>Comparação
(diferença)</t>
  </si>
  <si>
    <t>Valor homogeneizado</t>
  </si>
  <si>
    <t>Intervalo de segurança</t>
  </si>
  <si>
    <t>Limite inferior</t>
  </si>
  <si>
    <t>Limite superior</t>
  </si>
  <si>
    <t>Valor mínimo</t>
  </si>
  <si>
    <t>Valor máximo</t>
  </si>
  <si>
    <t>Desvio padrão</t>
  </si>
  <si>
    <t>SANEAMENTO (INTERVALO EM TORNO DA MÉDIA)</t>
  </si>
  <si>
    <t>Saneamento</t>
  </si>
  <si>
    <t>Excluir item</t>
  </si>
  <si>
    <t>SANEAMENTO (CRITÉRIO DE CHAUVENET)</t>
  </si>
  <si>
    <t>Valor crítico</t>
  </si>
  <si>
    <t>SANEAMENTO (CRITÉRIO DE ARLEY)</t>
  </si>
  <si>
    <t>Nível de significância</t>
  </si>
  <si>
    <t>Graus de liberdade</t>
  </si>
  <si>
    <t>Modo</t>
  </si>
  <si>
    <t>Intervalo em torno da média</t>
  </si>
  <si>
    <t>Critério de Chauvenet</t>
  </si>
  <si>
    <t>Critério de Arley</t>
  </si>
  <si>
    <t>Menor coeficiente de variação</t>
  </si>
  <si>
    <t>Procedimento</t>
  </si>
  <si>
    <t>Média a ser aplicada</t>
  </si>
  <si>
    <t>comercial</t>
  </si>
  <si>
    <t>condomínio/loteamento fechado</t>
  </si>
  <si>
    <t>isolada</t>
  </si>
  <si>
    <t>regular</t>
  </si>
  <si>
    <t>Bom</t>
  </si>
  <si>
    <t>Intervalo de confiança</t>
  </si>
  <si>
    <t>Desvio-padrão a ser aplicado</t>
  </si>
  <si>
    <t>Amplitude</t>
  </si>
  <si>
    <t>Grau de precisao</t>
  </si>
  <si>
    <t>Área do terreno avaliando</t>
  </si>
  <si>
    <t>Valor unitário (R$/m²)</t>
  </si>
  <si>
    <t>Avaliação</t>
  </si>
  <si>
    <t>Arredondamento</t>
  </si>
  <si>
    <t>Casas decimais</t>
  </si>
  <si>
    <t>Valor (arredondamento)</t>
  </si>
  <si>
    <t>Percentual (arredondamento)</t>
  </si>
  <si>
    <t>Fontes:</t>
  </si>
  <si>
    <t>ABUNAHAM, S.A. Curso básico de engenharia legal e de avaliações. 4. ed. rev. e ampl. São Paulo: Pini, 2008, p. 50 e 329.</t>
  </si>
  <si>
    <t>I</t>
  </si>
  <si>
    <t>Matrícula nº</t>
  </si>
  <si>
    <t>Oficiala de Justiça / Oficial de Justiça</t>
  </si>
  <si>
    <t>Quando a homogeneização é feita em relação a um paradigma, o resultado do tratamento estatístico fornece um valor unitário básico. Deve-se observar que, partindo-se do valor unitário básico, para a avaliação do objeto os fatores de homogeneização apresentados devem ser usados de forma invertida. Isto porque, se um TR tem uma vantagem em relação ao paradigma, esta vantagem deve ser retirada na fase de homogeneização; porém, conhecendo-se o valor unitário básico, se um terreno avaliando tem uma vantagem em relação ao paradigma, esta vantagem deve ser dada. É o raciocínio inverso (Dantas, 1998, p. 21).</t>
  </si>
  <si>
    <t>Código</t>
  </si>
  <si>
    <t>Descrição</t>
  </si>
  <si>
    <t>Grau</t>
  </si>
  <si>
    <t>Amplitude do intervalo de confiança de 80 % em torno da estimativa de tendência central</t>
  </si>
  <si>
    <t>Tabela 5 - Grau de precisão nos casos de utilização de modelos de regressão linear ou do tratamento por fatores</t>
  </si>
  <si>
    <t>III</t>
  </si>
  <si>
    <t>II</t>
  </si>
  <si>
    <r>
      <rPr>
        <b/>
        <sz val="10"/>
        <rFont val="Arial Nova"/>
        <family val="2"/>
      </rPr>
      <t>NBR 14653-2:2011. Avaliação de bens. Parte 2: Imóveis urbanos.
Item 9.2.3</t>
    </r>
    <r>
      <rPr>
        <sz val="10"/>
        <rFont val="Arial Nova"/>
        <family val="2"/>
      </rPr>
      <t xml:space="preserve"> O grau de precisão deve estar conforme a Tabela 5.</t>
    </r>
  </si>
  <si>
    <r>
      <t>F</t>
    </r>
    <r>
      <rPr>
        <vertAlign val="subscript"/>
        <sz val="10"/>
        <rFont val="Arial Nova"/>
        <family val="2"/>
      </rPr>
      <t>f</t>
    </r>
  </si>
  <si>
    <r>
      <t>F</t>
    </r>
    <r>
      <rPr>
        <vertAlign val="subscript"/>
        <sz val="10"/>
        <rFont val="Arial Nova"/>
        <family val="2"/>
      </rPr>
      <t>t</t>
    </r>
  </si>
  <si>
    <r>
      <t>F</t>
    </r>
    <r>
      <rPr>
        <vertAlign val="subscript"/>
        <sz val="10"/>
        <rFont val="Arial Nova"/>
        <family val="2"/>
      </rPr>
      <t>cs</t>
    </r>
  </si>
  <si>
    <r>
      <t>F</t>
    </r>
    <r>
      <rPr>
        <vertAlign val="subscript"/>
        <sz val="10"/>
        <rFont val="Arial Nova"/>
        <family val="2"/>
      </rPr>
      <t>p</t>
    </r>
  </si>
  <si>
    <r>
      <t>F</t>
    </r>
    <r>
      <rPr>
        <vertAlign val="subscript"/>
        <sz val="10"/>
        <rFont val="Arial Nova"/>
        <family val="2"/>
      </rPr>
      <t>e</t>
    </r>
  </si>
  <si>
    <r>
      <t>M</t>
    </r>
    <r>
      <rPr>
        <vertAlign val="subscript"/>
        <sz val="10"/>
        <rFont val="Arial Nova"/>
        <family val="2"/>
      </rPr>
      <t>p1</t>
    </r>
  </si>
  <si>
    <r>
      <t>M</t>
    </r>
    <r>
      <rPr>
        <vertAlign val="subscript"/>
        <sz val="10"/>
        <rFont val="Arial Nova"/>
        <family val="2"/>
      </rPr>
      <t>p2</t>
    </r>
  </si>
  <si>
    <r>
      <t>M</t>
    </r>
    <r>
      <rPr>
        <vertAlign val="subscript"/>
        <sz val="10"/>
        <rFont val="Arial Nova"/>
        <family val="2"/>
      </rPr>
      <t>p3</t>
    </r>
  </si>
  <si>
    <r>
      <t>M</t>
    </r>
    <r>
      <rPr>
        <vertAlign val="subscript"/>
        <sz val="10"/>
        <rFont val="Arial Nova"/>
        <family val="2"/>
      </rPr>
      <t>p4</t>
    </r>
  </si>
  <si>
    <r>
      <t>M</t>
    </r>
    <r>
      <rPr>
        <vertAlign val="subscript"/>
        <sz val="10"/>
        <rFont val="Arial Nova"/>
        <family val="2"/>
      </rPr>
      <t>p5</t>
    </r>
  </si>
  <si>
    <r>
      <t>M</t>
    </r>
    <r>
      <rPr>
        <vertAlign val="subscript"/>
        <sz val="10"/>
        <rFont val="Arial Nova"/>
        <family val="2"/>
      </rPr>
      <t>p6</t>
    </r>
  </si>
  <si>
    <r>
      <t>M</t>
    </r>
    <r>
      <rPr>
        <vertAlign val="subscript"/>
        <sz val="10"/>
        <rFont val="Arial Nova"/>
        <family val="2"/>
      </rPr>
      <t>p7</t>
    </r>
  </si>
  <si>
    <r>
      <t>Fator do item da amostra (f</t>
    </r>
    <r>
      <rPr>
        <vertAlign val="subscript"/>
        <sz val="10"/>
        <rFont val="Arial Nova"/>
        <family val="2"/>
      </rPr>
      <t>tr</t>
    </r>
    <r>
      <rPr>
        <sz val="10"/>
        <rFont val="Arial Nova"/>
        <family val="2"/>
      </rPr>
      <t>)</t>
    </r>
  </si>
  <si>
    <r>
      <t>Fator do bem avaliando (f</t>
    </r>
    <r>
      <rPr>
        <vertAlign val="subscript"/>
        <sz val="10"/>
        <rFont val="Arial Nova"/>
        <family val="2"/>
      </rPr>
      <t>a</t>
    </r>
    <r>
      <rPr>
        <sz val="10"/>
        <rFont val="Arial Nova"/>
        <family val="2"/>
      </rPr>
      <t>)</t>
    </r>
  </si>
  <si>
    <r>
      <t>t</t>
    </r>
    <r>
      <rPr>
        <vertAlign val="subscript"/>
        <sz val="10"/>
        <rFont val="Arial Nova"/>
        <family val="2"/>
      </rPr>
      <t>crítico</t>
    </r>
  </si>
  <si>
    <t>Demonstração visual do conjunto de dados após a homogeneização.</t>
  </si>
  <si>
    <t>Demonstração do ajuste dos itens da amostra ao paradigma.</t>
  </si>
  <si>
    <t>Demonstração visual da situação da amostra antes da homogeneização.</t>
  </si>
  <si>
    <t>Avaliação do terreno</t>
  </si>
  <si>
    <t>≤30%</t>
  </si>
  <si>
    <t>≤40%</t>
  </si>
  <si>
    <t>≤50%</t>
  </si>
  <si>
    <t>O grau de precisão calculado foi inferior a 30% (trinta por cento); em razão disso, o laudo atingiu o grau de fundamentação III, máximo previsto na tabela 5 do item 9.2.3 da NBR 14653-2:2011 (Avaliação de bens. Parte 2: Imóveis urbanos).</t>
  </si>
  <si>
    <t>O grau de precisão calculado foi superior a 30% (trinta por cento) e inferior a 40% (quarenta por cento); em razão disso, o laudo atingiu o grau de fundamentação II, conforme previsão contida na tabela 5 do item 9.2.3 da NBR 14653-2:2011 (Avaliação de bens. Parte 2: Imóveis urbanos).</t>
  </si>
  <si>
    <t>O grau de precisão calculado foi inferior a superior a 40% (quarenta por cento) e inferior a 50% (cinquenta por cento); em razão disso, o laudo atingiu o grau de fundamentação I, conforme previsão contida na tabela 5 do item 9.2.3 da NBR 14653-2:2011 (Avaliação de bens. Parte 2: Imóveis urbanos).</t>
  </si>
  <si>
    <r>
      <t xml:space="preserve">Somatório das porcentagens correspondentes aos melhoramentos públicos </t>
    </r>
    <r>
      <rPr>
        <b/>
        <sz val="10"/>
        <rFont val="Arial Nova"/>
        <family val="2"/>
      </rPr>
      <t>presentes no paradigma e ausentes no bem avaliando</t>
    </r>
  </si>
  <si>
    <t>ARLEY, Niels; BUCH, Kai Rander. Introducción a la teoría de la probabilidad y de la estadística. Tradução: Fernando Bombal Gordón. Madrid: Editorial Alhambra S.A., 1968.</t>
  </si>
  <si>
    <t>FIKER, José. Avaliação de imóveis urbanos. 4. ed. rev. e ampl. São Paulo: Pini, 1993.</t>
  </si>
  <si>
    <t>MEDEIROS JÚNIOR, J.R.; PELLEGRINO, José Carlos. Método do custo: o terceiro componente. In: Avaliações para garantias: Instituto Brasileiro de Avaliações e Perícias de Engenharia. São Paulo: Pini, 1983, p. 101-102.</t>
  </si>
  <si>
    <t>PELLEGRINO, José Carlos. Valor em marcha. In: Anais do I Congresso Brasileiro de Engenharia de Avaliações / [patrocínio do] Instituto Brasileiro de Avaliações e Perícias de Engenharia – IBAPE. São Paulo: Pini, 1978, p. 282.</t>
  </si>
  <si>
    <t>LAUDO DE VISTORIA DE IMÓVEL - ARTIGO 872 do CPC</t>
  </si>
  <si>
    <t>1 - Dados básicos do processo e do imóvel objeto da vistoria</t>
  </si>
  <si>
    <t>Processo:</t>
  </si>
  <si>
    <t>Requerente:</t>
  </si>
  <si>
    <t>Requerido:</t>
  </si>
  <si>
    <t>Cartório de Registro:</t>
  </si>
  <si>
    <t>Prefeitura da situação:</t>
  </si>
  <si>
    <t>Vistoria acompanhada por:</t>
  </si>
  <si>
    <t>Data da Vistoria:</t>
  </si>
  <si>
    <t>Hora de início da vistoria:</t>
  </si>
  <si>
    <t>2.1 - Localização e tipo de uso do imóvel</t>
  </si>
  <si>
    <t>Facilidade de acesso ao imóvel:</t>
  </si>
  <si>
    <t>Uso predominante de lotes na região:</t>
  </si>
  <si>
    <t>difícil</t>
  </si>
  <si>
    <t>bom</t>
  </si>
  <si>
    <t>residencial multifamiliar</t>
  </si>
  <si>
    <t>razoável</t>
  </si>
  <si>
    <t>ótimo</t>
  </si>
  <si>
    <t>residencial unifamiliar</t>
  </si>
  <si>
    <t>industrial</t>
  </si>
  <si>
    <t>Tipo de implantação:</t>
  </si>
  <si>
    <t>2.2 - Condições de infraestrutura urbana da localidade</t>
  </si>
  <si>
    <t>rede água potável</t>
  </si>
  <si>
    <t>rede elétrica</t>
  </si>
  <si>
    <t>telecomunicações</t>
  </si>
  <si>
    <t>iluminação pública (na via do lote)</t>
  </si>
  <si>
    <t>rede de água pluvial</t>
  </si>
  <si>
    <t>rede de esgoto</t>
  </si>
  <si>
    <t>pavimentação</t>
  </si>
  <si>
    <t>gás canalizado</t>
  </si>
  <si>
    <t>2.3 - Serviços e equipamentos comunitários da localidade</t>
  </si>
  <si>
    <t>comércio</t>
  </si>
  <si>
    <t>rede bancária</t>
  </si>
  <si>
    <t>saúde</t>
  </si>
  <si>
    <t>lazer</t>
  </si>
  <si>
    <t>transporte coletivo</t>
  </si>
  <si>
    <t>segurança pública</t>
  </si>
  <si>
    <t>coleta de lixo</t>
  </si>
  <si>
    <t>escolas</t>
  </si>
  <si>
    <t>2.4 - Dados do lote</t>
  </si>
  <si>
    <t>esquina</t>
  </si>
  <si>
    <t>meio de quadra</t>
  </si>
  <si>
    <t>final de via sem saída</t>
  </si>
  <si>
    <t>irregular</t>
  </si>
  <si>
    <t>plano</t>
  </si>
  <si>
    <t>Superfície:</t>
  </si>
  <si>
    <t>seco</t>
  </si>
  <si>
    <t>brejoso</t>
  </si>
  <si>
    <t>alagável</t>
  </si>
  <si>
    <t>outra:</t>
  </si>
  <si>
    <t>sim</t>
  </si>
  <si>
    <t>não</t>
  </si>
  <si>
    <t>abaixo</t>
  </si>
  <si>
    <t>mesmo nível</t>
  </si>
  <si>
    <t>acima</t>
  </si>
  <si>
    <t>2.5 - Localização e ocupação do imóvel</t>
  </si>
  <si>
    <t>Localização:</t>
  </si>
  <si>
    <t>ótima</t>
  </si>
  <si>
    <t>boa</t>
  </si>
  <si>
    <t>ruim</t>
  </si>
  <si>
    <t>ocupado</t>
  </si>
  <si>
    <t>desocupado</t>
  </si>
  <si>
    <t>locado</t>
  </si>
  <si>
    <t>arrendado</t>
  </si>
  <si>
    <t>cedido</t>
  </si>
  <si>
    <t>comodato</t>
  </si>
  <si>
    <t>invadido</t>
  </si>
  <si>
    <t>2.6 - Condições sanitárias</t>
  </si>
  <si>
    <t>Abastecimento de água:</t>
  </si>
  <si>
    <t>não possui</t>
  </si>
  <si>
    <t>poço</t>
  </si>
  <si>
    <t>rede de água potável</t>
  </si>
  <si>
    <t>Solução sanitária:</t>
  </si>
  <si>
    <t>fossa séptica e sumidouro</t>
  </si>
  <si>
    <t>2.7 - Equipamentos diversos</t>
  </si>
  <si>
    <t>muros</t>
  </si>
  <si>
    <t>alarmes</t>
  </si>
  <si>
    <t>cerca elétrica</t>
  </si>
  <si>
    <t>câmeras</t>
  </si>
  <si>
    <t>interfone</t>
  </si>
  <si>
    <t>portão manual</t>
  </si>
  <si>
    <t>portão eletrônico</t>
  </si>
  <si>
    <t>Averbadas</t>
  </si>
  <si>
    <t>Não averbadas (passíveis de averbação)</t>
  </si>
  <si>
    <t>Privativa total:</t>
  </si>
  <si>
    <t>Comuns:</t>
  </si>
  <si>
    <t>Total:</t>
  </si>
  <si>
    <t>Ruim</t>
  </si>
  <si>
    <t>CFTV</t>
  </si>
  <si>
    <t>2.10 - Informações relativas ao condomínio, se o caso</t>
  </si>
  <si>
    <t>Estado de conservação:</t>
  </si>
  <si>
    <t>Em implantação</t>
  </si>
  <si>
    <t>Serviços e equipamentos do condomínio</t>
  </si>
  <si>
    <t>Portaria 24hs</t>
  </si>
  <si>
    <t>Hidrômetro Individual</t>
  </si>
  <si>
    <t>Portão eletrônico</t>
  </si>
  <si>
    <t>Poço artesiano</t>
  </si>
  <si>
    <t>Cerca elétrica</t>
  </si>
  <si>
    <t>outro:</t>
  </si>
  <si>
    <t>Nenhum</t>
  </si>
  <si>
    <t>Vista para o mar</t>
  </si>
  <si>
    <t>Vista para parques, áreas verdes, paisagens</t>
  </si>
  <si>
    <t>Vista permanente</t>
  </si>
  <si>
    <t>Outros:</t>
  </si>
  <si>
    <t>Rede de alta tensão</t>
  </si>
  <si>
    <t>Feira livre</t>
  </si>
  <si>
    <t>Córrego</t>
  </si>
  <si>
    <t>Presídio</t>
  </si>
  <si>
    <t>Favela</t>
  </si>
  <si>
    <t>A) As informações apresentadas na documentação correspondem às verificadas na vistoria?</t>
  </si>
  <si>
    <t>SIM</t>
  </si>
  <si>
    <t>NÃO</t>
  </si>
  <si>
    <t>B) O imóvel aparenta condições de estabilidade e solidez?</t>
  </si>
  <si>
    <t>C) O imóvel apresenta vícios de construção aparentes?</t>
  </si>
  <si>
    <t xml:space="preserve">D) O imóvel aparenta condições de habitabilidade? </t>
  </si>
  <si>
    <t xml:space="preserve">E) O imóvel é afetado significativamente por fatores ambientais, climáticos, localização, etc.? </t>
  </si>
  <si>
    <t>E) Informações adicionais relevantes:</t>
  </si>
  <si>
    <t>Hora de término da vistoria:</t>
  </si>
  <si>
    <t>TRIBUNAL DE JUSTIÇA DO ESTADO DO MARANHÃO</t>
  </si>
  <si>
    <t>VARA</t>
  </si>
  <si>
    <t>2.8 - Áreas do imóvel - lote ou gleba</t>
  </si>
  <si>
    <t>ÁREA TOTAL DO LOTE/GLEBA:</t>
  </si>
  <si>
    <t>2.10 - Valorizantes</t>
  </si>
  <si>
    <t>2 - Dados obtidos durante a vistoria e análise de documentos do imóvel</t>
  </si>
  <si>
    <t>misto: residência e comercial/industrial</t>
  </si>
  <si>
    <t>Oficial de Justiça:</t>
  </si>
  <si>
    <t>Endereço do imóvel:</t>
  </si>
  <si>
    <t>Matrícula do imóvel:</t>
  </si>
  <si>
    <t>Número do cadastro municipal:</t>
  </si>
  <si>
    <t>Área do  lote (m²):</t>
  </si>
  <si>
    <t>Número de frentes:</t>
  </si>
  <si>
    <t>aclive maior que 10%</t>
  </si>
  <si>
    <t>declive maiore que10%</t>
  </si>
  <si>
    <t>Nível em relação à via:</t>
  </si>
  <si>
    <t>2.11 - Depreciantes</t>
  </si>
  <si>
    <t>2.12 - Informações complementares</t>
  </si>
  <si>
    <t>Assinatura do Oficial de Justiça:</t>
  </si>
  <si>
    <t>ASSINADO DIGITALMENTE</t>
  </si>
  <si>
    <t>O intervalo de confiança é o intervalo de valores dentro do qual está contido o parâmetro populacional com determinada confiança (item 3.40 da NBR 14653-2:2011. Avaliação de bens. Parte 2: Imóveis urbanos). Os limites da amplitude do intervalo de confiança são aqueles previstos no item 9.2.3, tabela 5 da NBR 14653-2:2011.</t>
  </si>
  <si>
    <t>Situação no mercado</t>
  </si>
  <si>
    <t>Dados efetivamente utilizados</t>
  </si>
  <si>
    <t>AMOSTRA. CONJUNTO DE DADOS COLETADOS NO MERCADO.</t>
  </si>
  <si>
    <t>ASSOCIAÇÃO BRASILEIRA DE NORMAS TÉCNICAS. NBR 14653-1:2019. Avaliação bens. Parte 1: Procedimentos gerais.</t>
  </si>
  <si>
    <t>______. NBR 14653-2:2011. Avaliação bens. Parte 2: Imóveis urbanos.</t>
  </si>
  <si>
    <t>BERRINI, Luiz Carlos. Avaliações de imóveis. 4. ed. revista e atualizada por Luiz Carlos Berrini Júnior. Rio de Janeiro: Livraria Freitas Bastos S.A., 1960.</t>
  </si>
  <si>
    <t>CANTEIRO, João Ruy. Construções: seus custos de reprodução na capital de São Paulo de 1939 a 1979; Terrenos: subsídios à técnica de avaliação. 3. ed. São Paulo: Pini, 1980.</t>
  </si>
  <si>
    <t>DANTAS, Rubens Alves. Engenharia de avaliações: uma introdução à metodologia científica. São Paulo: Pini, 1998.</t>
  </si>
  <si>
    <t>______. Manual de avaliações e perícias em imóveis urbanos: de acordo com a nova norma NBR 14653-2 – Avaliações de Imóveis Urbanos e com a Norma para Avaliação de Imóveis Urbanos Ibape/SP – 2005. 4. ed. São Paulo: Pini, 2016.</t>
  </si>
  <si>
    <t>______. Manual de avaliações e perícias em imóveis urbanos: de acordo com a nova norma NBR 14653-2 – Avaliações de Imóveis Urbanos e com a Norma para Avaliação de Imóveis Urbanos Ibape/SP – 2011. 5. ed. São Paulo: Oficina de Textos, 2019.</t>
  </si>
  <si>
    <t>MEDEIROS JÚNIOR, Joaquim da Rocha. Vantagem da coisa feita na avaliação de imóveis pelo método do custo. In: Engenharia de avaliações. Instituto Brasileiro de Avaliações e Perícias de Engenharia – IBAPE. São Paulo: Pini, 1974.</t>
  </si>
  <si>
    <t>NASSER JÚNIOR, Radegaz. Avaliação de bens: princípios e aplicações. 2. ed revista e atualizada [recurso eletrônico]. São Paulo: Liv. e Ed. Universitária de Direito, 2013.</t>
  </si>
  <si>
    <t>______. Avaliação de bens: princípios básicos e aplicações. 3. ed. São Paulo: Editora Leud, 2019.</t>
  </si>
  <si>
    <t>THOFEHRN, Ragnar. Avaliação de terrenos urbanos: por fórmulas matemáticas. São Paulo: Pini, 2008.</t>
  </si>
  <si>
    <t>VEGNI-NERI, Guilherme Bomfim dei. Avaliação de imóveis urbanos e rurais: método prático e moderno. 4. ed. revista, melhorada e atualizada. São Paulo: Ed. Nacional, 1979.</t>
  </si>
  <si>
    <t>AVALIAÇÃO DE TERRENO PELO MÉTODO COMPARATIVO DIRETO DE DADOS DE MERCADO</t>
  </si>
  <si>
    <t>INFORMAR O NÚMERO DE DADOS QUE FORAM EFETIVAMENTE UTILIZADOS</t>
  </si>
  <si>
    <t>O grau de precisão calculado foi superio a 50% (cinquenta por cento). Não há classificação do resultado quanto à precisão, sendo necessário apresentar justificativa com base no diagnóstico do mercado (Nota feita à tabela 5 do item 9.2.3 da NBR 14653-2:2011 (Avaliação de bens. Parte 2: Imóveis urbanos).</t>
  </si>
  <si>
    <t>Na ausência de alguns dos melhoramentos assinalados, o valor unitário básico deverá ser reduzido multiplicando-se este valor pela recíproca da unidade somada às porcentagens correspondentes aos melhoramentos não existentes (Canteiro, 1980, p. 116).</t>
  </si>
  <si>
    <t>Laudo de vistoria criado pelo Prof. Vagner Sebastião Sperone, Oficial de Justiça do Tribunal de Justiça do Estado de São Paulo.</t>
  </si>
  <si>
    <t>Quantidade de dados de mercado, efetivamente utilizados</t>
  </si>
  <si>
    <t>Tabela 3 - Grau de fundamentação no caso de utilização do tratamento por fatores (NBR 14653-2:2011. Avaliação de bens. Parte 2: Imóveis urbanos)</t>
  </si>
  <si>
    <t>Fator correspondente ao somatório de coeficientes acima:</t>
  </si>
  <si>
    <r>
      <t>COEFICIENTE DA VANTAGEM DA COISA FEITA (</t>
    </r>
    <r>
      <rPr>
        <b/>
        <i/>
        <sz val="10"/>
        <rFont val="Arial Nova"/>
        <family val="2"/>
      </rPr>
      <t xml:space="preserve"> k</t>
    </r>
    <r>
      <rPr>
        <b/>
        <i/>
        <vertAlign val="subscript"/>
        <sz val="10"/>
        <rFont val="Arial Nova"/>
        <family val="2"/>
      </rPr>
      <t>cf</t>
    </r>
    <r>
      <rPr>
        <b/>
        <sz val="10"/>
        <rFont val="Arial Nova"/>
        <family val="2"/>
      </rPr>
      <t xml:space="preserve"> )</t>
    </r>
  </si>
  <si>
    <t>A justificativa para a aplicação do fator da vantagem da coisa feita é a constatação no mercado de que o interessado está disposto a pagar mais por aquilo que já está pronto para ser desfrutado (uso ou fonte de renda) de imediato do que por aquilo que somente poderá ser desfrutado no futuro.</t>
  </si>
  <si>
    <t>Os coeficientes de vantagem da coisa feita variam em função do tipo e da idade da construção.</t>
  </si>
  <si>
    <t>Tipo de construção</t>
  </si>
  <si>
    <t>Novo</t>
  </si>
  <si>
    <t>De 0 a 10 anos</t>
  </si>
  <si>
    <t>De 10 a 20 anos</t>
  </si>
  <si>
    <t>De 20 a 30 anos</t>
  </si>
  <si>
    <t>Grande estrutura</t>
  </si>
  <si>
    <t>Posição na coluna</t>
  </si>
  <si>
    <t>Pequena estrutura e residencial de luxo</t>
  </si>
  <si>
    <t>Posição na linha</t>
  </si>
  <si>
    <t>Industrial e residencial médio</t>
  </si>
  <si>
    <t>IDADE</t>
  </si>
  <si>
    <t>Residencial modesto e proletárias</t>
  </si>
  <si>
    <t>VARIAÇÃO DOS COEFICIENTES DA VANTAGEM DA COISA FEITA</t>
  </si>
  <si>
    <t>Os coeficientes de redução pela idade não se aplicam a zonas comerciais altamente valorizadas.</t>
  </si>
  <si>
    <t>Na tabela abaixo a idade do imóvel está em anos; não se trata de percentual da vida útil do imóvel.</t>
  </si>
  <si>
    <t>Observação:</t>
  </si>
  <si>
    <t>foram calculados os valores dos intervalos de cada faixa de tal forma que a cada ano correspondesse um coeficiente específico</t>
  </si>
  <si>
    <r>
      <t xml:space="preserve">A </t>
    </r>
    <r>
      <rPr>
        <b/>
        <sz val="10"/>
        <rFont val="Arial Nova"/>
        <family val="2"/>
      </rPr>
      <t>vantagem da coisa feita</t>
    </r>
    <r>
      <rPr>
        <sz val="10"/>
        <rFont val="Arial Nova"/>
        <family val="2"/>
      </rPr>
      <t xml:space="preserve"> é o acréscimo do valor que tem um determinado imóvel pela sua vantagem de estar construído e pronto para ser utilizado, em relação a outro semelhante, mas ainda por construir. Portanto, deverm ser aplicados os percentuais de incremento segundo o Eng. Joaquim da Rocha Medeiros Jr, citado por Sérgio Antônio Abunaham (ABUNAHAM, Sérgio Antônio. Curso básico de engenharia legal e de avaliações. 4. ed. rev. e ampl. São Paulo: Pini, 2008, p. 50).</t>
    </r>
  </si>
  <si>
    <t>TABELA DE VIDA REFERENCIAL E VALOR RESIDUAL</t>
  </si>
  <si>
    <t>CLASSE</t>
  </si>
  <si>
    <t>TIPO</t>
  </si>
  <si>
    <t>PADRÃO</t>
  </si>
  <si>
    <t>VALOR REFERENCIAL</t>
  </si>
  <si>
    <t>VALOR RESIDUAL</t>
  </si>
  <si>
    <t>ANOS</t>
  </si>
  <si>
    <t>RESIDENCIAL</t>
  </si>
  <si>
    <t>BARRACO</t>
  </si>
  <si>
    <t>RÚSTICO</t>
  </si>
  <si>
    <t>SIMPLES</t>
  </si>
  <si>
    <t>CASA</t>
  </si>
  <si>
    <t>PROLETÁRIO</t>
  </si>
  <si>
    <t>ECONÔMICO</t>
  </si>
  <si>
    <t>MÉDIO</t>
  </si>
  <si>
    <t>SUPERIOR</t>
  </si>
  <si>
    <t>FINO</t>
  </si>
  <si>
    <t>LUXO</t>
  </si>
  <si>
    <t>APARTAMENTO</t>
  </si>
  <si>
    <t>COMERCIAL</t>
  </si>
  <si>
    <t>ESCRITÓRIO</t>
  </si>
  <si>
    <t>GALPÕES</t>
  </si>
  <si>
    <t>COBERTURAS</t>
  </si>
  <si>
    <t>FIKER, J. Manual de avaliações e perícias em imóveis urbanos. 4. ed. São Paulo: Pini, 2016, p. 84.</t>
  </si>
  <si>
    <t>NASSER JUNIOR, R. Avaliação de bens: princípios básicos e aplicações. 2. ed. rev. e atualizada. São Paulo: LEUD, 2013, p. 107.</t>
  </si>
  <si>
    <t>Classificação dos estados de conservação e respectivos valores relativos da escala Heidecke</t>
  </si>
  <si>
    <t>Classe</t>
  </si>
  <si>
    <t>Referência</t>
  </si>
  <si>
    <t>Valor relativo</t>
  </si>
  <si>
    <t>Características</t>
  </si>
  <si>
    <t>A</t>
  </si>
  <si>
    <t>Edificação nova ou com reforma geral e substancial, com menos de dois anos, que apresente apenas sinais de desgaste natural da pintura externa.</t>
  </si>
  <si>
    <t>B</t>
  </si>
  <si>
    <t>Entre novo e regular</t>
  </si>
  <si>
    <t>Edificação nova ou com reforma geral e substancial, com menos de dois anos, que apresente necessidade apenas de uma demão leve de pintura para recompor a sua aparência</t>
  </si>
  <si>
    <t>C</t>
  </si>
  <si>
    <t>Edificação seminova ou com reforma geral e substancial entre 2 e 5 anos, cujo estado geral possa ser recuperado apenas com reparos de eventuais fissuras superficiais localizadas e/ou pintura externa e interna.</t>
  </si>
  <si>
    <t>D</t>
  </si>
  <si>
    <t>Entre regular e reparos simples</t>
  </si>
  <si>
    <t>Edificação seminova ou com reforma geral e substancial entre 2 e 5 anos, cujo estado geral possa ser recuperado com reparo de fissuras e trincas localizadas e superficiais e pintura interna e externa.</t>
  </si>
  <si>
    <t>E</t>
  </si>
  <si>
    <t>Reparos simples</t>
  </si>
  <si>
    <t>Edificação cujo estado geral possa ser recuperado com pintura interna e externa, após reparos de fissuras e trincas superficiais generalizadas, sem recuperação do sistema estrutural. Eventual, revisão do sistema hidráulico e elétrico.</t>
  </si>
  <si>
    <t>F</t>
  </si>
  <si>
    <t>Entre reparos simples e importantes</t>
  </si>
  <si>
    <t>Edificação cujo estado geral possa ser recuperado com pintura interna e externa, após reparos de fissuras e trincas, e com estabilização e/ou recuperação localizada do sistema estrutural; as instalações hidráulicas e elétricas possam ser restauradas mediante a revisão e com substituição eventual de algumas peças desgastadas naturalmente. Eventualmente possa ser necessária a substituição de revestimentos de pisos e paredes, de um ou de outro cômodo. Revisão da impermeabilização ou substituição de telhas da cobertura.</t>
  </si>
  <si>
    <t>G</t>
  </si>
  <si>
    <t>Reparos importantes</t>
  </si>
  <si>
    <t>Edificação cujo estado geral possa ser recuperado com pintura interna e externa, com substituição de panos de regularização da alvenaria, reparos de fissuras e trincas, com estabilização e/ou recuperação de grande parte do sistema estrutural. As instalações hidráulicas e elétricas possam ser restauradas mediante a substituição das peças aparentes. A substituição dos revestimentos de pisos e paredes, da maioria dos cômodos, se faz necessária. Substituição ou reparos importantes na impermeabilização ou no telhado.</t>
  </si>
  <si>
    <t>H</t>
  </si>
  <si>
    <t>Entre reparos importantes e sem valor</t>
  </si>
  <si>
    <t>Edificação cujo estado geral seja recuperado com estabilização e/ou recuperação do sistema estrutural, substituição da regularização da alvenaria, reparos de fissuras e trincas. Substituição das instalações hidráulicas e elétricas. Substituição dos revestimentos de pisos e paredes. Substituição da impermeabilização ou do telhado.</t>
  </si>
  <si>
    <t>Sem valor</t>
  </si>
  <si>
    <t>Edificação em estado de ruína</t>
  </si>
  <si>
    <t>FIKER, J. Avaliação de imóveis urbanos. 4. ed. rev. e ampl. São Paulo: Pini, 1993, p. 82.</t>
  </si>
  <si>
    <t>______, J. Manual de avaliações e perícias em imóveis urbanos. 4 ed. São Paulo: Pini, 2005, p. 86.</t>
  </si>
  <si>
    <t>MOREIRA, A.L. Princípios de engenharia de avaliações  5. ed. rev. e ampl. São Paulo: Pini, 2001, p. 232.</t>
  </si>
  <si>
    <t>Para o último estado de conservação (edificação em estado de ruína), a depreciação será total, independentemente do tempo de vida útil do imóvel, pois nesse caso a edificação individualmente considerada já não possui valor algum e a avaliação será feita sobre eventual valor dos escombros, se houver, ou sobre o valor residual aplicável.</t>
  </si>
  <si>
    <t>CÁLCULO DA DEPRECIAÇÃO DAS EDIFICAÇÕES PELO MÉTODO ROSS-HEIDECKE</t>
  </si>
  <si>
    <r>
      <t xml:space="preserve">Embora os coeficientes de depreciação sejam os mesmos, os estados de conservação podem ser classificados de três formas diferentes:
1. </t>
    </r>
    <r>
      <rPr>
        <b/>
        <sz val="10"/>
        <rFont val="Arial Nova"/>
        <family val="2"/>
      </rPr>
      <t>pelas letras (classificação mais comum)</t>
    </r>
    <r>
      <rPr>
        <sz val="10"/>
        <color theme="1"/>
        <rFont val="Arial Nova"/>
        <family val="2"/>
      </rPr>
      <t xml:space="preserve">: A, B, C, D, E, F, G, H, e I.
2. </t>
    </r>
    <r>
      <rPr>
        <b/>
        <sz val="10"/>
        <rFont val="Arial Nova"/>
        <family val="2"/>
      </rPr>
      <t>por números</t>
    </r>
    <r>
      <rPr>
        <sz val="10"/>
        <color theme="1"/>
        <rFont val="Arial Nova"/>
        <family val="2"/>
      </rPr>
      <t xml:space="preserve">: 1; 1,5; 2; 2,5; 3; 3,5; 4; 4,5, e 5.
3. </t>
    </r>
    <r>
      <rPr>
        <b/>
        <sz val="10"/>
        <rFont val="Arial Nova"/>
        <family val="2"/>
      </rPr>
      <t>pela situação das edificações</t>
    </r>
    <r>
      <rPr>
        <sz val="10"/>
        <color theme="1"/>
        <rFont val="Arial Nova"/>
        <family val="2"/>
      </rPr>
      <t xml:space="preserve">: ótimo, muito bom, bom, intermédio, regular, deficiente, mau, muito mau, e demolição.
</t>
    </r>
    <r>
      <rPr>
        <b/>
        <sz val="10"/>
        <rFont val="Arial Nova"/>
        <family val="2"/>
      </rPr>
      <t>4. pelos códigos</t>
    </r>
    <r>
      <rPr>
        <sz val="10"/>
        <color theme="1"/>
        <rFont val="Arial Nova"/>
        <family val="2"/>
      </rPr>
      <t>: O, MB, B, I, R, D, M, MM, e DM.</t>
    </r>
  </si>
  <si>
    <t>CORRESPONDÊNCIA ENTRE OS COEFICIENTES DE DEPRECIAÇÃO E OS TRÊS MODOS MAIS COMUNS DE CLASSIFICAR AS EDIFICAÇÕES DE ACORDO COM SEU ESTADO DE CONSERVAÇÃO</t>
  </si>
  <si>
    <t>COEFICIENTES DE DEPRECIAÇÃO HEIDECKE</t>
  </si>
  <si>
    <t>CLASSIFICAÇÃO
HEIDECKE</t>
  </si>
  <si>
    <t>CLASSIFICAÇÃO POR NÚMEROS</t>
  </si>
  <si>
    <t>CLASSIFICAÇÃO PELA SITUAÇÃO DAS EDIFICAÇÕES</t>
  </si>
  <si>
    <t>DESCRIÇÃO</t>
  </si>
  <si>
    <t>CÓDIGO</t>
  </si>
  <si>
    <t>Ótimo</t>
  </si>
  <si>
    <t>O</t>
  </si>
  <si>
    <t>Muito bom</t>
  </si>
  <si>
    <t>MB</t>
  </si>
  <si>
    <t>Intermédio</t>
  </si>
  <si>
    <t>R</t>
  </si>
  <si>
    <t>Deficiente</t>
  </si>
  <si>
    <t>Mau</t>
  </si>
  <si>
    <t>M</t>
  </si>
  <si>
    <t>Muito mau</t>
  </si>
  <si>
    <t>MM</t>
  </si>
  <si>
    <t>Demolição</t>
  </si>
  <si>
    <t>DM</t>
  </si>
  <si>
    <t>IDADE EM % DA VIDA ÚTIL</t>
  </si>
  <si>
    <t>ESTADO DE CONSERVAÇÃO</t>
  </si>
  <si>
    <r>
      <t xml:space="preserve">Valores relativos (perda de valor) calculados de acordo com o método Ross-Heidecke ( </t>
    </r>
    <r>
      <rPr>
        <i/>
        <sz val="10"/>
        <rFont val="Arial Nova"/>
        <family val="2"/>
      </rPr>
      <t>k</t>
    </r>
    <r>
      <rPr>
        <i/>
        <vertAlign val="subscript"/>
        <sz val="10"/>
        <rFont val="Arial Nova"/>
        <family val="2"/>
      </rPr>
      <t>d</t>
    </r>
    <r>
      <rPr>
        <vertAlign val="subscript"/>
        <sz val="10"/>
        <rFont val="Arial Nova"/>
        <family val="2"/>
      </rPr>
      <t xml:space="preserve"> </t>
    </r>
    <r>
      <rPr>
        <sz val="10"/>
        <color theme="1"/>
        <rFont val="Arial Nova"/>
        <family val="2"/>
      </rPr>
      <t>)</t>
    </r>
  </si>
  <si>
    <t>Classificação do estado de conservação de acordo com a tabela de Heidecke</t>
  </si>
  <si>
    <t>Esses valores foram calculados com o uso da seguinte fórmula:</t>
  </si>
  <si>
    <t>Coeficientes de depreciação (perda de valor) percentuais negativos</t>
  </si>
  <si>
    <t>Os resultados da equação foram convertidos para percentuais negativos, haja vista que a depreciação causa uma desvalorização do bem.
Essa conversão foi feita com o auxílio da seguinte equação:</t>
  </si>
  <si>
    <r>
      <t xml:space="preserve">Fatores diretos de depreciação calculados de acordo com o método Ross-Heidecke ( </t>
    </r>
    <r>
      <rPr>
        <i/>
        <sz val="10"/>
        <rFont val="Arial Nova"/>
        <family val="2"/>
      </rPr>
      <t>f</t>
    </r>
    <r>
      <rPr>
        <i/>
        <vertAlign val="subscript"/>
        <sz val="10"/>
        <rFont val="Arial Nova"/>
        <family val="2"/>
      </rPr>
      <t>d</t>
    </r>
    <r>
      <rPr>
        <i/>
        <sz val="10"/>
        <rFont val="Arial Nova"/>
        <family val="2"/>
      </rPr>
      <t xml:space="preserve"> = 1 + k</t>
    </r>
    <r>
      <rPr>
        <i/>
        <vertAlign val="subscript"/>
        <sz val="10"/>
        <rFont val="Arial Nova"/>
        <family val="2"/>
      </rPr>
      <t>d</t>
    </r>
    <r>
      <rPr>
        <sz val="10"/>
        <color theme="1"/>
        <rFont val="Arial Nova"/>
        <family val="2"/>
      </rPr>
      <t xml:space="preserve"> )</t>
    </r>
  </si>
  <si>
    <t>E, por fim, os coeficiente foram convertidos para fatores multiplicadores, providência essa que simplifica e torna mais prático o cálculo da depreciação. Essa conversão foi feita com o auxílio da seguinte equação:</t>
  </si>
  <si>
    <r>
      <t>ASSOCIAÇÃO BRASILEIRA DE NORMAS TÉCNICAS. </t>
    </r>
    <r>
      <rPr>
        <sz val="10"/>
        <color rgb="FF000000"/>
        <rFont val="Arial Nova"/>
        <family val="2"/>
      </rPr>
      <t>NBR 14653-1:2019. Avaliação bens. Parte 1: Procedimentos gerais.</t>
    </r>
  </si>
  <si>
    <r>
      <t>______. NBR 14653-2:2011. </t>
    </r>
    <r>
      <rPr>
        <sz val="10"/>
        <color rgb="FF000000"/>
        <rFont val="Arial Nova"/>
        <family val="2"/>
      </rPr>
      <t>Avaliação bens. Parte 2: Imóveis urbanos.</t>
    </r>
  </si>
  <si>
    <r>
      <t>BERRINI, Luiz Carlos. </t>
    </r>
    <r>
      <rPr>
        <sz val="10"/>
        <color rgb="FF000000"/>
        <rFont val="Arial Nova"/>
        <family val="2"/>
      </rPr>
      <t>Avaliações de imóveis. 4. ed. revista e atualizada por Luiz Carlos Berrini Júnior. Rio de Janeiro: Livraria Freitas Bastos S.A., 1960.</t>
    </r>
  </si>
  <si>
    <r>
      <t>CANTEIRO, João Ruy. </t>
    </r>
    <r>
      <rPr>
        <sz val="10"/>
        <color rgb="FF000000"/>
        <rFont val="Arial Nova"/>
        <family val="2"/>
      </rPr>
      <t>Construções: seus custos de reprodução na capital de São Paulo de 1939 a 1979; Terrenos: subsídios à técnica de avaliação. 3. ed. São Paulo: Pini, 1980.</t>
    </r>
  </si>
  <si>
    <r>
      <t>DANTAS, Rubens Alves. </t>
    </r>
    <r>
      <rPr>
        <sz val="10"/>
        <color rgb="FF000000"/>
        <rFont val="Arial Nova"/>
        <family val="2"/>
      </rPr>
      <t>Engenharia de avaliações: uma introdução à metodologia científica. São Paulo: Pini, 1998.</t>
    </r>
  </si>
  <si>
    <r>
      <t>______. </t>
    </r>
    <r>
      <rPr>
        <sz val="10"/>
        <color rgb="FF000000"/>
        <rFont val="Arial Nova"/>
        <family val="2"/>
      </rPr>
      <t>Manual de avaliações e perícias em imóveis urbanos: de acordo com a nova norma NBR 14653-2 – Avaliações de Imóveis Urbanos e com a Norma para Avaliação de Imóveis Urbanos Ibape/SP – 2005. 4. ed. São Paulo: Pini, 2016.</t>
    </r>
  </si>
  <si>
    <r>
      <t>______. </t>
    </r>
    <r>
      <rPr>
        <sz val="10"/>
        <color rgb="FF000000"/>
        <rFont val="Arial Nova"/>
        <family val="2"/>
      </rPr>
      <t>Manual de avaliações e perícias em imóveis urbanos: de acordo com a nova norma NBR 14653-2 – Avaliações de Imóveis Urbanos e com a Norma para Avaliação de Imóveis Urbanos Ibape/SP – 2011. 5. ed. São Paulo: Oficina de Textos, 2019.</t>
    </r>
  </si>
  <si>
    <r>
      <t>MEDEIROS JÚNIOR, Joaquim da Rocha. </t>
    </r>
    <r>
      <rPr>
        <sz val="10"/>
        <color rgb="FF000000"/>
        <rFont val="Arial Nova"/>
        <family val="2"/>
      </rPr>
      <t>Vantagem da coisa feita na avaliação de imóveis pelo método do custo. In: Engenharia de avaliações. Instituto Brasileiro de Avaliações e Perícias de Engenharia – IBAPE. São Paulo: Pini, 1974.</t>
    </r>
  </si>
  <si>
    <r>
      <t>NASSER JÚNIOR, Radegaz. </t>
    </r>
    <r>
      <rPr>
        <sz val="10"/>
        <color rgb="FF000000"/>
        <rFont val="Arial Nova"/>
        <family val="2"/>
      </rPr>
      <t>Avaliação de bens: princípios e aplicações. 2. ed revista e atualizada [recurso eletrônico]. São Paulo: Liv. e Ed. Universitária de Direito, 2013.</t>
    </r>
  </si>
  <si>
    <r>
      <t>______. </t>
    </r>
    <r>
      <rPr>
        <sz val="10"/>
        <color rgb="FF000000"/>
        <rFont val="Arial Nova"/>
        <family val="2"/>
      </rPr>
      <t>Avaliação de bens: princípios básicos e aplicações. 3. ed. São Paulo: Editora Leud, 2019.</t>
    </r>
  </si>
  <si>
    <r>
      <t>THOFEHRN, Ragnar. </t>
    </r>
    <r>
      <rPr>
        <sz val="10"/>
        <color rgb="FF000000"/>
        <rFont val="Arial Nova"/>
        <family val="2"/>
      </rPr>
      <t>Avaliação de terrenos urbanos: por fórmulas matemáticas. São Paulo: Pini, 2008.</t>
    </r>
  </si>
  <si>
    <r>
      <t>VEGNI-NERI, Guilherme Bomfim dei. </t>
    </r>
    <r>
      <rPr>
        <sz val="10"/>
        <color rgb="FF000000"/>
        <rFont val="Arial Nova"/>
        <family val="2"/>
      </rPr>
      <t>Avaliação de imóveis urbanos e rurais: método prático e moderno. 4. ed. revista, melhorada e atualizada. São Paulo: Ed. Nacional, 1979.</t>
    </r>
  </si>
  <si>
    <r>
      <t>______. </t>
    </r>
    <r>
      <rPr>
        <sz val="10"/>
        <color rgb="FF000000"/>
        <rFont val="Arial Nova"/>
        <family val="2"/>
      </rPr>
      <t>Prática de avaliação de imóveis: método moderno. 2. ed. revista melhorada. São Paulo: Edições Livraria Legislação Brasileira. 1968.</t>
    </r>
  </si>
  <si>
    <t>MÉTODO EVOLUTIVO: AVALIAÇÃO DAS BENFEITORIAS</t>
  </si>
  <si>
    <t>R-1</t>
  </si>
  <si>
    <t xml:space="preserve">baixo </t>
  </si>
  <si>
    <t>R-8</t>
  </si>
  <si>
    <t>normal</t>
  </si>
  <si>
    <t>R-16</t>
  </si>
  <si>
    <t>alto</t>
  </si>
  <si>
    <t>PIS</t>
  </si>
  <si>
    <t>PP-4</t>
  </si>
  <si>
    <t>residencial</t>
  </si>
  <si>
    <t>CSL-8</t>
  </si>
  <si>
    <t>galpão industrial</t>
  </si>
  <si>
    <t>CSL-16</t>
  </si>
  <si>
    <t>residência popular</t>
  </si>
  <si>
    <t>Tipo da benfeitoria:</t>
  </si>
  <si>
    <t>Padrão:</t>
  </si>
  <si>
    <t>RP1Q</t>
  </si>
  <si>
    <t>Codigo:</t>
  </si>
  <si>
    <t>Data de referência:</t>
  </si>
  <si>
    <t>maio de 2024</t>
  </si>
  <si>
    <t>GI</t>
  </si>
  <si>
    <t>Custo unitário específico para o projeto:</t>
  </si>
  <si>
    <t>Área da benfeitoria:</t>
  </si>
  <si>
    <t>Custo de reprodução da benfeitoria</t>
  </si>
  <si>
    <t>Cálculo da depreciação pelo método Ross-Heidecke</t>
  </si>
  <si>
    <t>Idade aparente da benfeitoria:</t>
  </si>
  <si>
    <t>Vida útil referencial</t>
  </si>
  <si>
    <t>Relação percentual:</t>
  </si>
  <si>
    <t>A depreciação Ross-Heidecke será calculada com o auxílio das seguintes equações:</t>
  </si>
  <si>
    <t>alfa</t>
  </si>
  <si>
    <t>novo</t>
  </si>
  <si>
    <t>entre novo e regular</t>
  </si>
  <si>
    <t>entre regular e reparos simples</t>
  </si>
  <si>
    <t>O resultado bruto da equação acima deve ser convertido para o respectivo de fator de depreciação, sendo feito:</t>
  </si>
  <si>
    <t>reparos simples</t>
  </si>
  <si>
    <t>entre reparos simples e reparos importantes</t>
  </si>
  <si>
    <t>reparos importantes</t>
  </si>
  <si>
    <t>entre reparos importantes e sem valor</t>
  </si>
  <si>
    <t>sem valor</t>
  </si>
  <si>
    <t>Estado de conservação da benfeitoria:</t>
  </si>
  <si>
    <t>Descrição do estado:</t>
  </si>
  <si>
    <t>Valor relativo da tabela Heidecke:</t>
  </si>
  <si>
    <t>Resultado bruto da equação:</t>
  </si>
  <si>
    <t>Coeficiente de depreciação específico (perda de valor):</t>
  </si>
  <si>
    <t>Fator de depreciação específico (multiplicador):</t>
  </si>
  <si>
    <t>Perda de valor decorrente da depreciação</t>
  </si>
  <si>
    <t>Custo de reedição da benfeitoria</t>
  </si>
  <si>
    <t>Fator da vantagem da coisa feita:</t>
  </si>
  <si>
    <t>Vantagem da coisa feita</t>
  </si>
  <si>
    <t>Tipo de construção:</t>
  </si>
  <si>
    <t>Idade da construção</t>
  </si>
  <si>
    <t>anos.</t>
  </si>
  <si>
    <t>Valor do terreno:</t>
  </si>
  <si>
    <t>Valor da benfeitoria (depreciada):</t>
  </si>
  <si>
    <t>Soma do valor do terreno, ao valor das benfeitorias:</t>
  </si>
  <si>
    <t>Fator multiplicador aplicável</t>
  </si>
  <si>
    <t>Terreno</t>
  </si>
  <si>
    <t>Avaliação do terreno e das benfeitorias</t>
  </si>
  <si>
    <t>Edificações</t>
  </si>
  <si>
    <t>Demonstração da relação percentual de cada elemento em relação ao todo (avaliação).</t>
  </si>
  <si>
    <t>Preço</t>
  </si>
  <si>
    <t>As benfeitorias serão avaliadas pelo método de quantificação do custo de reedição. O custo de reedição corresponde ao custo de reprodução descontada a depreciação.
O custo de reprodução será calculado a partir Custo Unitário Básico informado pelo Sindicato da Construção Civil local; essas informações estão disponíveis em: &lt;http://www.cub.org.br&gt;.
A depreciação das benfeitorias será calculada pelo método Ross-Heidecke.</t>
  </si>
  <si>
    <t>ABUNAHAM, S.A. Curso básico de engenharia legal e de avaliações. 4. ed. rev. e ampl. São Paulo: Pini, 2008.</t>
  </si>
  <si>
    <t>PELLEGRINO, José Carlos. Valor em marcha. In: Anais do I Congresso Brasileiro de Engenharia de Avaliações / [patrocínio do] Instituto Brasileiro de Avaliações e Perícias de Engenharia – IBAPE. São Paulo: Pini, 1978.</t>
  </si>
  <si>
    <t>MEDEIROS JÚNIOR, J.R.; PELLEGRINO, José Carlos. Método do custo: o terceiro componente. In: Avaliações para garantias: Instituto Brasileiro de Avaliações e Perícias de Engenharia. São Paulo: Pini, 1983.</t>
  </si>
  <si>
    <t>______. Prática de avaliação de imóveis: método moderno. 2. ed. revista melhorada. São Paulo: Edições Livraria Legislação Brasileira, 1968.</t>
  </si>
  <si>
    <t>Fator mínimo</t>
  </si>
  <si>
    <t>Elementos da amostra antes da homogeneização</t>
  </si>
  <si>
    <t>Fator máximo</t>
  </si>
  <si>
    <t>Faixa inalterável</t>
  </si>
  <si>
    <t>Elementos da amostra após a homogeneização</t>
  </si>
  <si>
    <t>Frente padrão para a zona</t>
  </si>
  <si>
    <t>Plano, em nível</t>
  </si>
  <si>
    <t>Seco</t>
  </si>
  <si>
    <t>Dentro dos limites mínimo e máximo</t>
  </si>
  <si>
    <t>Meio de quadra</t>
  </si>
  <si>
    <t>Característica do terreno padrão</t>
  </si>
  <si>
    <t>Fator do terreno padrão</t>
  </si>
  <si>
    <r>
      <t>F</t>
    </r>
    <r>
      <rPr>
        <vertAlign val="subscript"/>
        <sz val="10"/>
        <rFont val="Aptos"/>
        <family val="2"/>
      </rPr>
      <t>f</t>
    </r>
  </si>
  <si>
    <r>
      <t>F</t>
    </r>
    <r>
      <rPr>
        <vertAlign val="subscript"/>
        <sz val="10"/>
        <rFont val="Aptos"/>
        <family val="2"/>
      </rPr>
      <t>t</t>
    </r>
  </si>
  <si>
    <r>
      <t>F</t>
    </r>
    <r>
      <rPr>
        <vertAlign val="subscript"/>
        <sz val="10"/>
        <rFont val="Aptos"/>
        <family val="2"/>
      </rPr>
      <t>cs</t>
    </r>
  </si>
  <si>
    <r>
      <t>F</t>
    </r>
    <r>
      <rPr>
        <vertAlign val="subscript"/>
        <sz val="10"/>
        <rFont val="Aptos"/>
        <family val="2"/>
      </rPr>
      <t>p</t>
    </r>
  </si>
  <si>
    <r>
      <t>F</t>
    </r>
    <r>
      <rPr>
        <vertAlign val="subscript"/>
        <sz val="10"/>
        <rFont val="Aptos"/>
        <family val="2"/>
      </rPr>
      <t>e</t>
    </r>
  </si>
  <si>
    <t>Terreno à venda</t>
  </si>
  <si>
    <t>Elemento comparativo</t>
  </si>
  <si>
    <t>INTERVALO DE CONFIANÇA E GRAU DE PRECISÃO</t>
  </si>
  <si>
    <t>Água</t>
  </si>
  <si>
    <t>Esgoto</t>
  </si>
  <si>
    <t>Luz pública</t>
  </si>
  <si>
    <t>Luz domiciliar</t>
  </si>
  <si>
    <t>Guias-sarjetas</t>
  </si>
  <si>
    <t>Telefone</t>
  </si>
  <si>
    <t>Melhoramentos públicos do bem avaliando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</si>
</sst>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R$&quot;\ * #,##0.00_-;\-&quot;R$&quot;\ * #,##0.00_-;_-&quot;R$&quot;\ * &quot;-&quot;??_-;_-@_-"/>
    <numFmt numFmtId="43" formatCode="_-* #,##0.00_-;\-* #,##0.00_-;_-* &quot;-&quot;??_-;_-@_-"/>
    <numFmt numFmtId="164" formatCode="#,##0.00_ ;[Red]\-#,##0.00\ "/>
    <numFmt numFmtId="165" formatCode="0.000000"/>
    <numFmt numFmtId="166" formatCode="0.0000"/>
    <numFmt numFmtId="167" formatCode="#,##0.0000"/>
    <numFmt numFmtId="168" formatCode="_-[$R$-416]\ * #,##0.00_-;\-[$R$-416]\ * #,##0.00_-;_-[$R$-416]\ * &quot;-&quot;??_-;_-@_-"/>
    <numFmt numFmtId="169" formatCode="#,##0.00_ ;\-#,##0.00\ "/>
    <numFmt numFmtId="170" formatCode="0.000"/>
    <numFmt numFmtId="171" formatCode="#,##0_ ;[Red]\-#,##0\ "/>
    <numFmt numFmtId="172" formatCode="#,##0.000000_ ;[Red]\-#,##0.000000\ "/>
    <numFmt numFmtId="173" formatCode="#,##0.00000_ ;[Red]\-#,##0.00000\ "/>
    <numFmt numFmtId="174" formatCode="0.0"/>
    <numFmt numFmtId="175" formatCode="0.00000"/>
    <numFmt numFmtId="176" formatCode="#,##0.0000_ ;[Red]\-#,##0.0000\ "/>
  </numFmts>
  <fonts count="26" x14ac:knownFonts="1">
    <font>
      <sz val="11"/>
      <color theme="1"/>
      <name val="Aptos"/>
      <family val="2"/>
    </font>
    <font>
      <sz val="11"/>
      <color theme="1"/>
      <name val="Aptos"/>
      <family val="2"/>
    </font>
    <font>
      <b/>
      <sz val="10"/>
      <name val="Arial Nova"/>
      <family val="2"/>
    </font>
    <font>
      <sz val="10"/>
      <name val="Arial Nova"/>
      <family val="2"/>
    </font>
    <font>
      <i/>
      <sz val="10"/>
      <name val="Arial Nova"/>
      <family val="2"/>
    </font>
    <font>
      <vertAlign val="subscript"/>
      <sz val="10"/>
      <name val="Arial Nova"/>
      <family val="2"/>
    </font>
    <font>
      <b/>
      <sz val="10.5"/>
      <name val="Arial Nova"/>
      <family val="2"/>
    </font>
    <font>
      <b/>
      <sz val="11"/>
      <name val="Aptos"/>
      <family val="2"/>
    </font>
    <font>
      <sz val="10"/>
      <color theme="0"/>
      <name val="Arial Nova"/>
      <family val="2"/>
    </font>
    <font>
      <sz val="11"/>
      <name val="Aptos"/>
      <family val="2"/>
    </font>
    <font>
      <b/>
      <sz val="11"/>
      <color theme="1"/>
      <name val="Aptos"/>
      <family val="2"/>
    </font>
    <font>
      <b/>
      <sz val="14"/>
      <color theme="1"/>
      <name val="Aptos"/>
      <family val="2"/>
    </font>
    <font>
      <sz val="14"/>
      <color theme="1"/>
      <name val="Aptos"/>
      <family val="2"/>
    </font>
    <font>
      <b/>
      <i/>
      <sz val="10"/>
      <name val="Arial Nova"/>
      <family val="2"/>
    </font>
    <font>
      <b/>
      <i/>
      <vertAlign val="subscript"/>
      <sz val="10"/>
      <name val="Arial Nova"/>
      <family val="2"/>
    </font>
    <font>
      <sz val="10"/>
      <color theme="1"/>
      <name val="Arial Nova"/>
      <family val="2"/>
    </font>
    <font>
      <sz val="10"/>
      <color rgb="FF383D3C"/>
      <name val="Arial Nova"/>
      <family val="2"/>
    </font>
    <font>
      <i/>
      <vertAlign val="subscript"/>
      <sz val="10"/>
      <name val="Arial Nova"/>
      <family val="2"/>
    </font>
    <font>
      <sz val="10"/>
      <color theme="1"/>
      <name val="Aptos"/>
      <family val="2"/>
    </font>
    <font>
      <sz val="10"/>
      <color rgb="FF000000"/>
      <name val="Arial Nova"/>
      <family val="2"/>
    </font>
    <font>
      <i/>
      <sz val="11"/>
      <name val="Aptos"/>
      <family val="2"/>
    </font>
    <font>
      <sz val="11"/>
      <color theme="0"/>
      <name val="Aptos"/>
      <family val="2"/>
    </font>
    <font>
      <sz val="10"/>
      <name val="Aptos"/>
      <family val="2"/>
    </font>
    <font>
      <vertAlign val="subscript"/>
      <sz val="10"/>
      <name val="Aptos"/>
      <family val="2"/>
    </font>
    <font>
      <b/>
      <sz val="11"/>
      <color theme="0"/>
      <name val="Arial"/>
      <family val="2"/>
    </font>
    <font>
      <i/>
      <sz val="10"/>
      <name val="Aptos"/>
      <family val="2"/>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B9CFD9"/>
        <bgColor indexed="64"/>
      </patternFill>
    </fill>
    <fill>
      <patternFill patternType="solid">
        <fgColor theme="0" tint="-4.9989318521683403E-2"/>
        <bgColor rgb="FF3465A4"/>
      </patternFill>
    </fill>
    <fill>
      <patternFill patternType="solid">
        <fgColor theme="0" tint="-4.9989318521683403E-2"/>
        <bgColor rgb="FF336699"/>
      </patternFill>
    </fill>
    <fill>
      <patternFill patternType="solid">
        <fgColor theme="0" tint="-0.14999847407452621"/>
        <bgColor rgb="FF336699"/>
      </patternFill>
    </fill>
  </fills>
  <borders count="3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right style="hair">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medium">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92">
    <xf numFmtId="0" fontId="0" fillId="0" borderId="0" xfId="0"/>
    <xf numFmtId="0" fontId="3" fillId="0" borderId="0" xfId="0" applyFont="1" applyAlignment="1" applyProtection="1">
      <alignment horizontal="justify" vertical="center" wrapText="1"/>
      <protection hidden="1"/>
    </xf>
    <xf numFmtId="0" fontId="3" fillId="4" borderId="0" xfId="0" applyFont="1" applyFill="1" applyAlignment="1" applyProtection="1">
      <alignment vertical="center" wrapText="1"/>
      <protection hidden="1"/>
    </xf>
    <xf numFmtId="0" fontId="3"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3" fillId="3" borderId="2" xfId="0" applyFont="1" applyFill="1" applyBorder="1" applyAlignment="1" applyProtection="1">
      <alignment horizontal="center" vertical="center" wrapText="1"/>
      <protection hidden="1"/>
    </xf>
    <xf numFmtId="164" fontId="3" fillId="0" borderId="0" xfId="0" applyNumberFormat="1" applyFont="1" applyAlignment="1" applyProtection="1">
      <alignment vertical="center" wrapText="1"/>
      <protection hidden="1"/>
    </xf>
    <xf numFmtId="0" fontId="3" fillId="0" borderId="5" xfId="0" applyFont="1" applyBorder="1" applyAlignment="1" applyProtection="1">
      <alignment vertical="center" wrapText="1"/>
      <protection hidden="1"/>
    </xf>
    <xf numFmtId="9" fontId="3" fillId="0" borderId="0" xfId="2" applyFont="1" applyAlignment="1" applyProtection="1">
      <alignment vertical="center" wrapText="1"/>
      <protection hidden="1"/>
    </xf>
    <xf numFmtId="9" fontId="3" fillId="0" borderId="0" xfId="0" applyNumberFormat="1" applyFont="1" applyAlignment="1" applyProtection="1">
      <alignment vertical="center" wrapText="1"/>
      <protection hidden="1"/>
    </xf>
    <xf numFmtId="43" fontId="3" fillId="0" borderId="0" xfId="1" applyFont="1" applyAlignment="1" applyProtection="1">
      <alignment vertical="center" wrapText="1"/>
      <protection hidden="1"/>
    </xf>
    <xf numFmtId="0" fontId="3" fillId="3" borderId="2" xfId="0" applyFont="1" applyFill="1" applyBorder="1" applyAlignment="1" applyProtection="1">
      <alignment vertical="center" wrapText="1"/>
      <protection hidden="1"/>
    </xf>
    <xf numFmtId="10" fontId="3" fillId="0" borderId="0" xfId="2" applyNumberFormat="1" applyFont="1" applyBorder="1" applyAlignment="1" applyProtection="1">
      <alignment horizontal="right" vertical="center" wrapText="1"/>
      <protection hidden="1"/>
    </xf>
    <xf numFmtId="0" fontId="3" fillId="0" borderId="0" xfId="0" applyFont="1" applyAlignment="1" applyProtection="1">
      <alignment horizontal="justify" wrapText="1"/>
      <protection hidden="1"/>
    </xf>
    <xf numFmtId="0" fontId="4" fillId="0" borderId="0" xfId="0" applyFont="1" applyAlignment="1" applyProtection="1">
      <alignment vertical="center" wrapText="1"/>
      <protection hidden="1"/>
    </xf>
    <xf numFmtId="164" fontId="3" fillId="0" borderId="5" xfId="0" applyNumberFormat="1" applyFont="1" applyBorder="1" applyAlignment="1" applyProtection="1">
      <alignment vertical="center" wrapText="1"/>
      <protection locked="0"/>
    </xf>
    <xf numFmtId="4" fontId="3" fillId="0" borderId="5" xfId="2" applyNumberFormat="1" applyFont="1" applyFill="1" applyBorder="1" applyAlignment="1" applyProtection="1">
      <alignment horizontal="right" vertical="center" wrapText="1" readingOrder="1"/>
      <protection locked="0"/>
    </xf>
    <xf numFmtId="4" fontId="3" fillId="0" borderId="13" xfId="2" applyNumberFormat="1" applyFont="1" applyFill="1" applyBorder="1" applyAlignment="1" applyProtection="1">
      <alignment horizontal="right" vertical="center" wrapText="1" readingOrder="1"/>
      <protection locked="0"/>
    </xf>
    <xf numFmtId="164" fontId="3" fillId="0" borderId="13" xfId="0" applyNumberFormat="1" applyFont="1" applyBorder="1" applyAlignment="1" applyProtection="1">
      <alignment vertical="center" wrapText="1"/>
      <protection locked="0"/>
    </xf>
    <xf numFmtId="164" fontId="3" fillId="3" borderId="13" xfId="0" applyNumberFormat="1" applyFont="1" applyFill="1" applyBorder="1" applyAlignment="1" applyProtection="1">
      <alignment vertical="center" wrapText="1"/>
      <protection hidden="1"/>
    </xf>
    <xf numFmtId="0" fontId="4" fillId="0" borderId="0" xfId="0" applyFont="1" applyAlignment="1" applyProtection="1">
      <alignment horizontal="center" vertical="center" wrapText="1"/>
      <protection hidden="1"/>
    </xf>
    <xf numFmtId="0" fontId="3" fillId="0" borderId="0" xfId="0" applyFont="1" applyAlignment="1" applyProtection="1">
      <alignment horizontal="justify" vertical="top" wrapText="1"/>
      <protection hidden="1"/>
    </xf>
    <xf numFmtId="0" fontId="15" fillId="0" borderId="0" xfId="0" applyFont="1" applyAlignment="1" applyProtection="1">
      <alignment vertical="center"/>
      <protection hidden="1"/>
    </xf>
    <xf numFmtId="0" fontId="3" fillId="0" borderId="25" xfId="0" applyFont="1" applyBorder="1" applyAlignment="1" applyProtection="1">
      <alignment horizontal="justify" vertical="center" wrapText="1"/>
      <protection hidden="1"/>
    </xf>
    <xf numFmtId="0" fontId="15" fillId="0" borderId="0" xfId="0" applyFont="1" applyAlignment="1" applyProtection="1">
      <alignment horizontal="justify" vertical="center" wrapText="1"/>
      <protection hidden="1"/>
    </xf>
    <xf numFmtId="171" fontId="15" fillId="0" borderId="0" xfId="0" applyNumberFormat="1" applyFont="1" applyAlignment="1" applyProtection="1">
      <alignment horizontal="right" vertical="center" wrapText="1" readingOrder="1"/>
      <protection hidden="1"/>
    </xf>
    <xf numFmtId="172" fontId="15" fillId="0" borderId="0" xfId="0" applyNumberFormat="1" applyFont="1" applyAlignment="1" applyProtection="1">
      <alignment horizontal="right" vertical="center" wrapText="1" readingOrder="1"/>
      <protection hidden="1"/>
    </xf>
    <xf numFmtId="173" fontId="15" fillId="0" borderId="0" xfId="0" applyNumberFormat="1" applyFont="1" applyAlignment="1" applyProtection="1">
      <alignment horizontal="right" vertical="center" wrapText="1" readingOrder="1"/>
      <protection hidden="1"/>
    </xf>
    <xf numFmtId="0" fontId="15" fillId="0" borderId="0" xfId="0" applyFont="1" applyAlignment="1" applyProtection="1">
      <alignment horizontal="right" vertical="center" wrapText="1" readingOrder="1"/>
      <protection hidden="1"/>
    </xf>
    <xf numFmtId="0" fontId="3" fillId="0" borderId="30" xfId="0" applyFont="1" applyBorder="1" applyAlignment="1" applyProtection="1">
      <alignment horizontal="center" vertical="center" wrapText="1"/>
      <protection hidden="1"/>
    </xf>
    <xf numFmtId="1" fontId="15" fillId="0" borderId="30" xfId="0" applyNumberFormat="1" applyFont="1" applyBorder="1" applyAlignment="1" applyProtection="1">
      <alignment horizontal="right" vertical="center" wrapText="1"/>
      <protection hidden="1"/>
    </xf>
    <xf numFmtId="0" fontId="15" fillId="0" borderId="3" xfId="0" applyFont="1" applyBorder="1" applyAlignment="1" applyProtection="1">
      <alignment horizontal="center" vertical="center" wrapText="1"/>
      <protection hidden="1"/>
    </xf>
    <xf numFmtId="9" fontId="15" fillId="3" borderId="3" xfId="2" applyFont="1" applyFill="1" applyBorder="1" applyAlignment="1" applyProtection="1">
      <alignment horizontal="center" vertical="center" wrapText="1"/>
      <protection hidden="1"/>
    </xf>
    <xf numFmtId="4" fontId="15" fillId="0" borderId="3" xfId="0" applyNumberFormat="1" applyFont="1" applyBorder="1" applyAlignment="1" applyProtection="1">
      <alignment horizontal="right" vertical="center" wrapText="1"/>
      <protection hidden="1"/>
    </xf>
    <xf numFmtId="0" fontId="18" fillId="0" borderId="0" xfId="0" applyFont="1" applyAlignment="1" applyProtection="1">
      <alignment vertical="center"/>
      <protection hidden="1"/>
    </xf>
    <xf numFmtId="0" fontId="4" fillId="0" borderId="0" xfId="0" applyFont="1" applyAlignment="1" applyProtection="1">
      <alignment horizontal="right" vertical="center" wrapText="1"/>
      <protection hidden="1"/>
    </xf>
    <xf numFmtId="49" fontId="4" fillId="0" borderId="0" xfId="0" applyNumberFormat="1" applyFont="1" applyAlignment="1" applyProtection="1">
      <alignment vertical="center" wrapText="1"/>
      <protection hidden="1"/>
    </xf>
    <xf numFmtId="9" fontId="15" fillId="0" borderId="3" xfId="2" applyFont="1" applyBorder="1" applyAlignment="1" applyProtection="1">
      <alignment horizontal="center" vertical="center" wrapText="1"/>
      <protection hidden="1"/>
    </xf>
    <xf numFmtId="10" fontId="15" fillId="0" borderId="3" xfId="2" applyNumberFormat="1" applyFont="1" applyBorder="1" applyAlignment="1" applyProtection="1">
      <alignment horizontal="right" vertical="center" wrapText="1"/>
      <protection hidden="1"/>
    </xf>
    <xf numFmtId="0" fontId="0" fillId="0" borderId="0" xfId="0" applyProtection="1">
      <protection hidden="1"/>
    </xf>
    <xf numFmtId="167" fontId="15" fillId="0" borderId="3" xfId="0" applyNumberFormat="1" applyFont="1" applyBorder="1" applyAlignment="1" applyProtection="1">
      <alignment horizontal="right" vertical="center" wrapText="1"/>
      <protection hidden="1"/>
    </xf>
    <xf numFmtId="0" fontId="0" fillId="0" borderId="0" xfId="0" applyAlignment="1" applyProtection="1">
      <alignment vertical="center"/>
      <protection hidden="1"/>
    </xf>
    <xf numFmtId="0" fontId="12" fillId="0" borderId="0" xfId="0" applyFont="1" applyAlignment="1" applyProtection="1">
      <alignment horizontal="center" vertical="center"/>
      <protection hidden="1"/>
    </xf>
    <xf numFmtId="0" fontId="0" fillId="0" borderId="1" xfId="0" applyBorder="1" applyProtection="1">
      <protection hidden="1"/>
    </xf>
    <xf numFmtId="0" fontId="0" fillId="0" borderId="8" xfId="0" applyBorder="1" applyProtection="1">
      <protection hidden="1"/>
    </xf>
    <xf numFmtId="0" fontId="0" fillId="0" borderId="2" xfId="0" applyBorder="1" applyProtection="1">
      <protection hidden="1"/>
    </xf>
    <xf numFmtId="0" fontId="0" fillId="0" borderId="9" xfId="0" applyBorder="1" applyProtection="1">
      <protection hidden="1"/>
    </xf>
    <xf numFmtId="0" fontId="0" fillId="0" borderId="3" xfId="0" applyBorder="1" applyAlignment="1" applyProtection="1">
      <alignment vertical="center"/>
      <protection hidden="1"/>
    </xf>
    <xf numFmtId="0" fontId="0" fillId="0" borderId="12" xfId="0" applyBorder="1" applyProtection="1">
      <protection hidden="1"/>
    </xf>
    <xf numFmtId="0" fontId="0" fillId="0" borderId="13" xfId="0" applyBorder="1" applyProtection="1">
      <protection hidden="1"/>
    </xf>
    <xf numFmtId="0" fontId="0" fillId="0" borderId="14" xfId="0" applyBorder="1" applyProtection="1">
      <protection hidden="1"/>
    </xf>
    <xf numFmtId="0" fontId="0" fillId="0" borderId="20" xfId="0" applyBorder="1" applyProtection="1">
      <protection hidden="1"/>
    </xf>
    <xf numFmtId="0" fontId="7" fillId="0" borderId="0" xfId="0" applyFont="1" applyAlignment="1" applyProtection="1">
      <alignment vertical="center"/>
      <protection hidden="1"/>
    </xf>
    <xf numFmtId="0" fontId="7" fillId="0" borderId="9" xfId="0" applyFont="1" applyBorder="1" applyAlignment="1" applyProtection="1">
      <alignment vertical="center"/>
      <protection hidden="1"/>
    </xf>
    <xf numFmtId="0" fontId="9" fillId="0" borderId="0" xfId="0" applyFont="1" applyAlignment="1" applyProtection="1">
      <alignment vertical="center"/>
      <protection hidden="1"/>
    </xf>
    <xf numFmtId="0" fontId="9" fillId="0" borderId="15" xfId="0" applyFont="1" applyBorder="1" applyAlignment="1" applyProtection="1">
      <alignment vertical="center"/>
      <protection hidden="1"/>
    </xf>
    <xf numFmtId="0" fontId="9" fillId="0" borderId="9" xfId="0" applyFont="1" applyBorder="1" applyAlignment="1" applyProtection="1">
      <alignment vertical="center"/>
      <protection hidden="1"/>
    </xf>
    <xf numFmtId="0" fontId="0" fillId="0" borderId="1" xfId="0" applyBorder="1" applyAlignment="1" applyProtection="1">
      <alignment vertical="center"/>
      <protection hidden="1"/>
    </xf>
    <xf numFmtId="0" fontId="9" fillId="0" borderId="1" xfId="0" applyFont="1" applyBorder="1" applyAlignment="1" applyProtection="1">
      <alignment vertical="center"/>
      <protection hidden="1"/>
    </xf>
    <xf numFmtId="0" fontId="7" fillId="0" borderId="2" xfId="0" applyFont="1" applyBorder="1" applyAlignment="1" applyProtection="1">
      <alignment vertical="center" wrapText="1"/>
      <protection hidden="1"/>
    </xf>
    <xf numFmtId="0" fontId="7" fillId="0" borderId="0" xfId="0" applyFont="1" applyAlignment="1" applyProtection="1">
      <alignment vertical="center" wrapText="1"/>
      <protection hidden="1"/>
    </xf>
    <xf numFmtId="14" fontId="9" fillId="0" borderId="0" xfId="0" applyNumberFormat="1" applyFont="1" applyAlignment="1" applyProtection="1">
      <alignment vertical="center"/>
      <protection hidden="1"/>
    </xf>
    <xf numFmtId="49" fontId="9" fillId="0" borderId="0" xfId="0" applyNumberFormat="1" applyFont="1" applyAlignment="1" applyProtection="1">
      <alignment vertical="center"/>
      <protection hidden="1"/>
    </xf>
    <xf numFmtId="0" fontId="7" fillId="0" borderId="9" xfId="0" applyFont="1" applyBorder="1" applyAlignment="1" applyProtection="1">
      <alignment vertical="center" wrapText="1"/>
      <protection hidden="1"/>
    </xf>
    <xf numFmtId="0" fontId="9" fillId="0" borderId="3" xfId="0" applyFont="1" applyBorder="1" applyAlignment="1" applyProtection="1">
      <alignment vertical="center"/>
      <protection hidden="1"/>
    </xf>
    <xf numFmtId="0" fontId="9" fillId="0" borderId="16" xfId="0" applyFont="1" applyBorder="1" applyAlignment="1" applyProtection="1">
      <alignment vertical="center"/>
      <protection hidden="1"/>
    </xf>
    <xf numFmtId="0" fontId="7" fillId="0" borderId="12" xfId="0" applyFont="1" applyBorder="1" applyAlignment="1" applyProtection="1">
      <alignment vertical="center" wrapText="1"/>
      <protection hidden="1"/>
    </xf>
    <xf numFmtId="0" fontId="7" fillId="0" borderId="1" xfId="0" applyFont="1" applyBorder="1" applyAlignment="1" applyProtection="1">
      <alignment vertical="center" wrapText="1"/>
      <protection hidden="1"/>
    </xf>
    <xf numFmtId="0" fontId="9" fillId="0" borderId="0" xfId="0" applyFont="1" applyAlignment="1" applyProtection="1">
      <alignment vertical="center" wrapText="1"/>
      <protection hidden="1"/>
    </xf>
    <xf numFmtId="0" fontId="10" fillId="0" borderId="0" xfId="0" applyFont="1" applyAlignment="1" applyProtection="1">
      <alignment vertical="center"/>
      <protection hidden="1"/>
    </xf>
    <xf numFmtId="0" fontId="7" fillId="0" borderId="3" xfId="0" applyFont="1" applyBorder="1" applyAlignment="1" applyProtection="1">
      <alignment vertical="center"/>
      <protection hidden="1"/>
    </xf>
    <xf numFmtId="0" fontId="0" fillId="0" borderId="0" xfId="0" applyAlignment="1" applyProtection="1">
      <alignment horizontal="left" vertical="center"/>
      <protection hidden="1"/>
    </xf>
    <xf numFmtId="4" fontId="3" fillId="0" borderId="1" xfId="2" applyNumberFormat="1" applyFont="1" applyFill="1" applyBorder="1" applyAlignment="1" applyProtection="1">
      <alignment horizontal="right" vertical="center" wrapText="1" readingOrder="1"/>
      <protection hidden="1"/>
    </xf>
    <xf numFmtId="0" fontId="21" fillId="0" borderId="0" xfId="0" applyFont="1" applyAlignment="1" applyProtection="1">
      <alignment vertical="center" wrapText="1"/>
      <protection hidden="1"/>
    </xf>
    <xf numFmtId="0" fontId="9" fillId="0" borderId="2" xfId="0" applyFont="1" applyBorder="1" applyAlignment="1" applyProtection="1">
      <alignment vertical="center" wrapText="1"/>
      <protection hidden="1"/>
    </xf>
    <xf numFmtId="0" fontId="9" fillId="0" borderId="5" xfId="0" applyFont="1" applyBorder="1" applyAlignment="1" applyProtection="1">
      <alignment vertical="center" wrapText="1"/>
      <protection hidden="1"/>
    </xf>
    <xf numFmtId="0" fontId="9" fillId="0" borderId="1" xfId="0" applyFont="1" applyBorder="1" applyAlignment="1" applyProtection="1">
      <alignment vertical="center" wrapText="1"/>
      <protection hidden="1"/>
    </xf>
    <xf numFmtId="0" fontId="9" fillId="0" borderId="0" xfId="0" applyFont="1" applyAlignment="1" applyProtection="1">
      <alignment horizontal="distributed" wrapText="1"/>
      <protection hidden="1"/>
    </xf>
    <xf numFmtId="0" fontId="9" fillId="0" borderId="5"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hidden="1"/>
    </xf>
    <xf numFmtId="0" fontId="3" fillId="0" borderId="13" xfId="0" applyFont="1" applyBorder="1" applyAlignment="1" applyProtection="1">
      <alignment horizontal="center" vertical="center" wrapText="1"/>
      <protection hidden="1"/>
    </xf>
    <xf numFmtId="165" fontId="3" fillId="0" borderId="0" xfId="1" applyNumberFormat="1" applyFont="1" applyBorder="1" applyAlignment="1" applyProtection="1">
      <alignment horizontal="right" vertical="center" wrapText="1"/>
      <protection hidden="1"/>
    </xf>
    <xf numFmtId="164" fontId="8" fillId="0" borderId="0" xfId="0" applyNumberFormat="1" applyFont="1" applyAlignment="1" applyProtection="1">
      <alignment vertical="center" wrapText="1"/>
      <protection hidden="1"/>
    </xf>
    <xf numFmtId="165" fontId="8" fillId="0" borderId="0" xfId="1" applyNumberFormat="1" applyFont="1" applyBorder="1" applyAlignment="1" applyProtection="1">
      <alignment horizontal="right" vertical="center" wrapText="1"/>
      <protection hidden="1"/>
    </xf>
    <xf numFmtId="10" fontId="8" fillId="0" borderId="0" xfId="0" applyNumberFormat="1" applyFont="1" applyAlignment="1" applyProtection="1">
      <alignment vertical="center" wrapText="1"/>
      <protection hidden="1"/>
    </xf>
    <xf numFmtId="4" fontId="8" fillId="0" borderId="0" xfId="0" applyNumberFormat="1" applyFont="1" applyAlignment="1" applyProtection="1">
      <alignment vertical="center" wrapText="1"/>
      <protection hidden="1"/>
    </xf>
    <xf numFmtId="0" fontId="21" fillId="0" borderId="0" xfId="0" applyFont="1" applyAlignment="1" applyProtection="1">
      <alignment horizontal="left" vertical="center" wrapText="1"/>
      <protection hidden="1"/>
    </xf>
    <xf numFmtId="175" fontId="21" fillId="0" borderId="0" xfId="0" applyNumberFormat="1" applyFont="1" applyAlignment="1" applyProtection="1">
      <alignment horizontal="right" vertical="center" wrapText="1"/>
      <protection hidden="1"/>
    </xf>
    <xf numFmtId="0" fontId="21" fillId="0" borderId="0" xfId="0" applyFont="1" applyAlignment="1" applyProtection="1">
      <alignment horizontal="justify" wrapText="1"/>
      <protection hidden="1"/>
    </xf>
    <xf numFmtId="10" fontId="21" fillId="0" borderId="0" xfId="2" applyNumberFormat="1" applyFont="1" applyAlignment="1" applyProtection="1">
      <alignment vertical="center" wrapText="1"/>
      <protection hidden="1"/>
    </xf>
    <xf numFmtId="164" fontId="21" fillId="0" borderId="0" xfId="0" applyNumberFormat="1" applyFont="1" applyAlignment="1" applyProtection="1">
      <alignment vertical="center" wrapText="1"/>
      <protection hidden="1"/>
    </xf>
    <xf numFmtId="0" fontId="21" fillId="0" borderId="0" xfId="0" applyFont="1" applyAlignment="1" applyProtection="1">
      <alignment horizontal="center" vertical="center" wrapText="1"/>
      <protection hidden="1"/>
    </xf>
    <xf numFmtId="0" fontId="21" fillId="0" borderId="0" xfId="0" applyFont="1" applyAlignment="1" applyProtection="1">
      <alignment horizontal="justify" vertical="top" wrapText="1"/>
      <protection hidden="1"/>
    </xf>
    <xf numFmtId="0" fontId="24" fillId="0" borderId="0" xfId="0" applyFont="1" applyAlignment="1" applyProtection="1">
      <alignment horizontal="center" vertical="center" wrapText="1"/>
      <protection hidden="1"/>
    </xf>
    <xf numFmtId="10" fontId="21" fillId="0" borderId="0" xfId="0" applyNumberFormat="1" applyFont="1" applyAlignment="1" applyProtection="1">
      <alignment horizontal="center" vertical="center" wrapText="1"/>
      <protection hidden="1"/>
    </xf>
    <xf numFmtId="0" fontId="21" fillId="0" borderId="0" xfId="0" applyFont="1" applyAlignment="1" applyProtection="1">
      <alignment horizontal="right" vertical="center" wrapText="1"/>
      <protection hidden="1"/>
    </xf>
    <xf numFmtId="170" fontId="21" fillId="0" borderId="0" xfId="0" applyNumberFormat="1" applyFont="1" applyAlignment="1" applyProtection="1">
      <alignment horizontal="right" vertical="center" wrapText="1"/>
      <protection hidden="1"/>
    </xf>
    <xf numFmtId="170" fontId="21" fillId="0" borderId="0" xfId="0" applyNumberFormat="1" applyFont="1" applyAlignment="1" applyProtection="1">
      <alignment horizontal="justify" vertical="top" wrapText="1"/>
      <protection hidden="1"/>
    </xf>
    <xf numFmtId="0" fontId="8" fillId="0" borderId="0" xfId="0" applyFont="1" applyAlignment="1" applyProtection="1">
      <alignment horizontal="justify" vertical="top" wrapText="1"/>
      <protection hidden="1"/>
    </xf>
    <xf numFmtId="0" fontId="8" fillId="0" borderId="0" xfId="0" applyFont="1" applyAlignment="1" applyProtection="1">
      <alignment wrapText="1"/>
      <protection hidden="1"/>
    </xf>
    <xf numFmtId="0" fontId="25" fillId="0" borderId="0" xfId="0" applyFont="1" applyAlignment="1" applyProtection="1">
      <alignment horizontal="center" vertical="center" wrapText="1"/>
      <protection hidden="1"/>
    </xf>
    <xf numFmtId="0" fontId="3" fillId="0" borderId="0" xfId="0" applyFont="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2" fontId="3" fillId="0" borderId="5" xfId="0" applyNumberFormat="1" applyFont="1" applyBorder="1" applyAlignment="1" applyProtection="1">
      <alignment horizontal="left" vertical="center" wrapText="1"/>
      <protection hidden="1"/>
    </xf>
    <xf numFmtId="164" fontId="8" fillId="0" borderId="0" xfId="0" applyNumberFormat="1" applyFont="1" applyAlignment="1" applyProtection="1">
      <alignment horizontal="left" vertical="center" wrapText="1"/>
      <protection hidden="1"/>
    </xf>
    <xf numFmtId="4" fontId="8" fillId="0" borderId="0" xfId="0" applyNumberFormat="1" applyFont="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21" fillId="0" borderId="0" xfId="0" applyFont="1" applyAlignment="1" applyProtection="1">
      <alignment horizontal="left" wrapText="1"/>
      <protection hidden="1"/>
    </xf>
    <xf numFmtId="0" fontId="3" fillId="0" borderId="2" xfId="0" applyFont="1" applyBorder="1" applyAlignment="1" applyProtection="1">
      <alignment vertical="center" wrapText="1"/>
      <protection hidden="1"/>
    </xf>
    <xf numFmtId="164" fontId="3" fillId="0" borderId="13" xfId="0" applyNumberFormat="1" applyFont="1" applyBorder="1" applyAlignment="1" applyProtection="1">
      <alignment horizontal="right" vertical="center" wrapText="1"/>
      <protection hidden="1"/>
    </xf>
    <xf numFmtId="164" fontId="3" fillId="0" borderId="2" xfId="0" applyNumberFormat="1" applyFont="1" applyBorder="1" applyAlignment="1" applyProtection="1">
      <alignment vertical="center" wrapText="1"/>
      <protection hidden="1"/>
    </xf>
    <xf numFmtId="164" fontId="3" fillId="0" borderId="5" xfId="0" applyNumberFormat="1" applyFont="1" applyBorder="1" applyAlignment="1" applyProtection="1">
      <alignment vertical="center" wrapText="1"/>
      <protection locked="0"/>
    </xf>
    <xf numFmtId="165" fontId="3" fillId="0" borderId="5" xfId="1" applyNumberFormat="1" applyFont="1" applyBorder="1" applyAlignment="1" applyProtection="1">
      <alignment horizontal="right" vertical="center" wrapText="1"/>
      <protection hidden="1"/>
    </xf>
    <xf numFmtId="1" fontId="3" fillId="0" borderId="2" xfId="1" applyNumberFormat="1" applyFont="1" applyBorder="1" applyAlignment="1" applyProtection="1">
      <alignment vertical="center" wrapText="1"/>
      <protection locked="0"/>
    </xf>
    <xf numFmtId="164" fontId="3" fillId="0" borderId="0" xfId="0" applyNumberFormat="1" applyFont="1" applyAlignment="1" applyProtection="1">
      <alignment vertical="center" wrapText="1"/>
      <protection locked="0"/>
    </xf>
    <xf numFmtId="10" fontId="3" fillId="0" borderId="5" xfId="2" applyNumberFormat="1" applyFont="1" applyBorder="1" applyAlignment="1" applyProtection="1">
      <alignment vertical="center" wrapText="1"/>
      <protection hidden="1"/>
    </xf>
    <xf numFmtId="0" fontId="2" fillId="5" borderId="2" xfId="0" applyFont="1" applyFill="1" applyBorder="1" applyAlignment="1" applyProtection="1">
      <alignment vertical="center" wrapText="1"/>
      <protection hidden="1"/>
    </xf>
    <xf numFmtId="164" fontId="3" fillId="0" borderId="5" xfId="0" applyNumberFormat="1" applyFont="1" applyBorder="1" applyAlignment="1" applyProtection="1">
      <alignment horizontal="right" vertical="center" wrapText="1"/>
      <protection hidden="1"/>
    </xf>
    <xf numFmtId="164" fontId="3" fillId="0" borderId="5" xfId="0" applyNumberFormat="1" applyFont="1" applyBorder="1" applyAlignment="1" applyProtection="1">
      <alignment vertical="center" wrapText="1"/>
      <protection hidden="1"/>
    </xf>
    <xf numFmtId="0" fontId="3" fillId="0" borderId="5" xfId="0" applyFont="1" applyBorder="1" applyAlignment="1" applyProtection="1">
      <alignment vertical="center" wrapText="1"/>
      <protection hidden="1"/>
    </xf>
    <xf numFmtId="0" fontId="22" fillId="3" borderId="2" xfId="0" applyFont="1" applyFill="1" applyBorder="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22" fillId="0" borderId="5" xfId="0" applyFont="1" applyBorder="1" applyAlignment="1" applyProtection="1">
      <alignment horizontal="center" vertical="center" wrapText="1"/>
      <protection hidden="1"/>
    </xf>
    <xf numFmtId="164" fontId="3" fillId="0" borderId="13" xfId="0" applyNumberFormat="1" applyFont="1" applyBorder="1" applyAlignment="1" applyProtection="1">
      <alignment horizontal="center" vertical="center" wrapText="1"/>
      <protection hidden="1"/>
    </xf>
    <xf numFmtId="0" fontId="3" fillId="3" borderId="2" xfId="0" applyFont="1" applyFill="1" applyBorder="1" applyAlignment="1" applyProtection="1">
      <alignment horizontal="center" vertical="center" wrapText="1"/>
      <protection hidden="1"/>
    </xf>
    <xf numFmtId="0" fontId="3" fillId="0" borderId="5" xfId="0" applyFont="1" applyBorder="1" applyAlignment="1" applyProtection="1">
      <alignment vertical="center" wrapText="1"/>
      <protection locked="0"/>
    </xf>
    <xf numFmtId="164" fontId="3" fillId="0" borderId="5" xfId="0" applyNumberFormat="1" applyFont="1" applyBorder="1" applyAlignment="1" applyProtection="1">
      <alignment horizontal="center" vertical="center" wrapText="1"/>
      <protection hidden="1"/>
    </xf>
    <xf numFmtId="0" fontId="3" fillId="3" borderId="0" xfId="0" applyFont="1" applyFill="1" applyAlignment="1" applyProtection="1">
      <alignment horizontal="center" vertical="center" wrapText="1"/>
      <protection hidden="1"/>
    </xf>
    <xf numFmtId="0" fontId="3" fillId="0" borderId="0" xfId="0" applyFont="1" applyAlignment="1" applyProtection="1">
      <alignment vertical="center" wrapText="1"/>
      <protection hidden="1"/>
    </xf>
    <xf numFmtId="0" fontId="3" fillId="0" borderId="13" xfId="0" applyFont="1" applyBorder="1" applyAlignment="1" applyProtection="1">
      <alignment vertical="center" wrapText="1"/>
      <protection locked="0"/>
    </xf>
    <xf numFmtId="164" fontId="3" fillId="0" borderId="13" xfId="0" applyNumberFormat="1" applyFont="1" applyBorder="1" applyAlignment="1" applyProtection="1">
      <alignment vertical="center" wrapText="1"/>
      <protection hidden="1"/>
    </xf>
    <xf numFmtId="10" fontId="3" fillId="0" borderId="2" xfId="2" applyNumberFormat="1" applyFont="1" applyBorder="1" applyAlignment="1" applyProtection="1">
      <alignment vertical="center" wrapText="1"/>
      <protection hidden="1"/>
    </xf>
    <xf numFmtId="0" fontId="3" fillId="0" borderId="0" xfId="0" applyFont="1" applyAlignment="1" applyProtection="1">
      <alignment horizontal="justify" vertical="center" wrapText="1"/>
      <protection hidden="1"/>
    </xf>
    <xf numFmtId="0" fontId="9" fillId="0" borderId="0" xfId="0" applyFont="1" applyAlignment="1" applyProtection="1">
      <alignment horizontal="center" vertical="center" wrapText="1"/>
      <protection hidden="1"/>
    </xf>
    <xf numFmtId="0" fontId="9" fillId="0" borderId="2" xfId="0" applyFont="1" applyBorder="1" applyAlignment="1" applyProtection="1">
      <alignment vertical="center" wrapText="1"/>
      <protection hidden="1"/>
    </xf>
    <xf numFmtId="0" fontId="9" fillId="0" borderId="2" xfId="0" applyFont="1" applyBorder="1" applyAlignment="1" applyProtection="1">
      <alignment vertical="center" wrapText="1"/>
      <protection locked="0"/>
    </xf>
    <xf numFmtId="0" fontId="9" fillId="0" borderId="5" xfId="0" applyFont="1" applyBorder="1" applyAlignment="1" applyProtection="1">
      <alignment vertical="center" wrapText="1"/>
      <protection hidden="1"/>
    </xf>
    <xf numFmtId="10" fontId="9" fillId="0" borderId="5" xfId="2" applyNumberFormat="1" applyFont="1" applyFill="1" applyBorder="1" applyAlignment="1" applyProtection="1">
      <alignment vertical="center" wrapText="1"/>
      <protection hidden="1"/>
    </xf>
    <xf numFmtId="0" fontId="9" fillId="0" borderId="0" xfId="0" applyFont="1" applyAlignment="1" applyProtection="1">
      <alignment horizontal="left" vertical="center" wrapText="1"/>
      <protection hidden="1"/>
    </xf>
    <xf numFmtId="164" fontId="9" fillId="0" borderId="5" xfId="0" applyNumberFormat="1" applyFont="1" applyBorder="1" applyAlignment="1" applyProtection="1">
      <alignment vertical="center" wrapText="1"/>
      <protection hidden="1"/>
    </xf>
    <xf numFmtId="0" fontId="7" fillId="0" borderId="2" xfId="0" applyFont="1" applyBorder="1" applyAlignment="1" applyProtection="1">
      <alignment vertical="center" wrapText="1"/>
      <protection hidden="1"/>
    </xf>
    <xf numFmtId="164" fontId="7" fillId="0" borderId="2" xfId="0" applyNumberFormat="1" applyFont="1" applyBorder="1" applyAlignment="1" applyProtection="1">
      <alignment horizontal="right" vertical="center" wrapText="1"/>
      <protection hidden="1"/>
    </xf>
    <xf numFmtId="0" fontId="21" fillId="0" borderId="0" xfId="0" applyFont="1" applyAlignment="1" applyProtection="1">
      <alignment horizontal="center" vertical="center" wrapText="1"/>
      <protection hidden="1"/>
    </xf>
    <xf numFmtId="164" fontId="9" fillId="0" borderId="2" xfId="0" applyNumberFormat="1" applyFont="1" applyBorder="1" applyAlignment="1" applyProtection="1">
      <alignment horizontal="right" vertical="center" wrapText="1"/>
      <protection hidden="1"/>
    </xf>
    <xf numFmtId="176" fontId="9" fillId="0" borderId="2" xfId="0" applyNumberFormat="1" applyFont="1" applyBorder="1" applyAlignment="1" applyProtection="1">
      <alignment vertical="center" wrapText="1"/>
      <protection hidden="1"/>
    </xf>
    <xf numFmtId="0" fontId="7" fillId="0" borderId="0" xfId="0" applyFont="1" applyAlignment="1" applyProtection="1">
      <alignment vertical="center" wrapText="1"/>
      <protection hidden="1"/>
    </xf>
    <xf numFmtId="0" fontId="9" fillId="0" borderId="0" xfId="0" applyFont="1" applyAlignment="1" applyProtection="1">
      <alignment vertical="center" wrapText="1"/>
      <protection hidden="1"/>
    </xf>
    <xf numFmtId="0" fontId="20" fillId="0" borderId="2" xfId="0" applyFont="1" applyBorder="1" applyAlignment="1" applyProtection="1">
      <alignment vertical="center" wrapText="1"/>
      <protection hidden="1"/>
    </xf>
    <xf numFmtId="164" fontId="9" fillId="0" borderId="2" xfId="0" applyNumberFormat="1" applyFont="1" applyBorder="1" applyAlignment="1" applyProtection="1">
      <alignment horizontal="right" vertical="center" wrapText="1"/>
      <protection locked="0"/>
    </xf>
    <xf numFmtId="168" fontId="9" fillId="0" borderId="2" xfId="3" applyNumberFormat="1" applyFont="1" applyBorder="1" applyAlignment="1" applyProtection="1">
      <alignment horizontal="right" vertical="center" wrapText="1"/>
      <protection hidden="1"/>
    </xf>
    <xf numFmtId="10" fontId="9" fillId="0" borderId="5" xfId="2" applyNumberFormat="1" applyFont="1" applyBorder="1" applyAlignment="1" applyProtection="1">
      <alignment vertical="center" wrapText="1"/>
      <protection hidden="1"/>
    </xf>
    <xf numFmtId="10" fontId="3" fillId="0" borderId="2" xfId="2" applyNumberFormat="1" applyFont="1" applyBorder="1" applyAlignment="1" applyProtection="1">
      <alignment horizontal="right" vertical="center" wrapText="1"/>
      <protection hidden="1"/>
    </xf>
    <xf numFmtId="0" fontId="3" fillId="0" borderId="5" xfId="0" applyFont="1" applyBorder="1" applyAlignment="1" applyProtection="1">
      <alignment horizontal="right" vertical="center" wrapText="1"/>
      <protection hidden="1"/>
    </xf>
    <xf numFmtId="0" fontId="2" fillId="5" borderId="0" xfId="0" applyFont="1" applyFill="1" applyAlignment="1" applyProtection="1">
      <alignment horizontal="center" vertical="center" wrapText="1"/>
      <protection hidden="1"/>
    </xf>
    <xf numFmtId="10" fontId="3" fillId="0" borderId="0" xfId="0" applyNumberFormat="1"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9" fillId="0" borderId="5" xfId="0" applyFont="1" applyBorder="1" applyAlignment="1" applyProtection="1">
      <alignment horizontal="left" vertical="center" wrapText="1"/>
      <protection locked="0"/>
    </xf>
    <xf numFmtId="0" fontId="9" fillId="0" borderId="5" xfId="0" applyFont="1" applyBorder="1" applyAlignment="1" applyProtection="1">
      <alignment vertical="center" wrapText="1"/>
      <protection locked="0"/>
    </xf>
    <xf numFmtId="0" fontId="7" fillId="5" borderId="2" xfId="0" applyFont="1" applyFill="1" applyBorder="1" applyAlignment="1" applyProtection="1">
      <alignment vertical="center" wrapText="1"/>
      <protection hidden="1"/>
    </xf>
    <xf numFmtId="0" fontId="9" fillId="0" borderId="0" xfId="0" applyFont="1" applyAlignment="1" applyProtection="1">
      <alignment horizontal="justify" wrapText="1"/>
      <protection hidden="1"/>
    </xf>
    <xf numFmtId="164" fontId="9" fillId="0" borderId="2" xfId="0" applyNumberFormat="1" applyFont="1" applyBorder="1" applyAlignment="1" applyProtection="1">
      <alignment horizontal="left" vertical="center" wrapText="1"/>
      <protection locked="0"/>
    </xf>
    <xf numFmtId="10" fontId="3" fillId="0" borderId="2" xfId="0" applyNumberFormat="1" applyFont="1" applyBorder="1" applyAlignment="1" applyProtection="1">
      <alignment vertical="center" wrapText="1"/>
      <protection hidden="1"/>
    </xf>
    <xf numFmtId="164" fontId="3" fillId="0" borderId="2" xfId="0" applyNumberFormat="1" applyFont="1" applyBorder="1" applyAlignment="1" applyProtection="1">
      <alignment horizontal="right" vertical="center" wrapText="1"/>
      <protection locked="0"/>
    </xf>
    <xf numFmtId="9" fontId="3" fillId="0" borderId="3" xfId="2" applyFont="1" applyFill="1" applyBorder="1" applyAlignment="1" applyProtection="1">
      <alignment horizontal="center" vertical="center" wrapText="1"/>
      <protection hidden="1"/>
    </xf>
    <xf numFmtId="168" fontId="9" fillId="0" borderId="2" xfId="3" applyNumberFormat="1" applyFont="1" applyBorder="1" applyAlignment="1" applyProtection="1">
      <alignment horizontal="right" vertical="center" wrapText="1"/>
      <protection locked="0"/>
    </xf>
    <xf numFmtId="164" fontId="3" fillId="0" borderId="2" xfId="0" applyNumberFormat="1" applyFont="1" applyBorder="1" applyAlignment="1" applyProtection="1">
      <alignment horizontal="right" vertical="center" wrapText="1"/>
      <protection hidden="1"/>
    </xf>
    <xf numFmtId="0" fontId="22" fillId="0" borderId="5" xfId="0" applyFont="1" applyBorder="1" applyAlignment="1" applyProtection="1">
      <alignment vertical="center" wrapText="1"/>
      <protection hidden="1"/>
    </xf>
    <xf numFmtId="0" fontId="9" fillId="0" borderId="5" xfId="0" applyFont="1" applyBorder="1" applyAlignment="1" applyProtection="1">
      <alignment horizontal="left" vertical="center" wrapText="1"/>
      <protection hidden="1"/>
    </xf>
    <xf numFmtId="176" fontId="9" fillId="0" borderId="5" xfId="0" applyNumberFormat="1" applyFont="1" applyBorder="1" applyAlignment="1" applyProtection="1">
      <alignment vertical="center" wrapText="1"/>
      <protection hidden="1"/>
    </xf>
    <xf numFmtId="0" fontId="9" fillId="0" borderId="0" xfId="0" applyFont="1" applyAlignment="1" applyProtection="1">
      <alignment horizontal="right" vertical="center" wrapText="1"/>
      <protection locked="0"/>
    </xf>
    <xf numFmtId="0" fontId="9" fillId="0" borderId="5" xfId="0" applyFont="1" applyBorder="1" applyAlignment="1" applyProtection="1">
      <alignment horizontal="right" vertical="center" wrapText="1"/>
      <protection locked="0"/>
    </xf>
    <xf numFmtId="0" fontId="3" fillId="0" borderId="2" xfId="0" applyFont="1" applyBorder="1" applyAlignment="1" applyProtection="1">
      <alignment horizontal="right" vertical="center" wrapText="1"/>
      <protection hidden="1"/>
    </xf>
    <xf numFmtId="0" fontId="2" fillId="0" borderId="3"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3" fillId="3" borderId="3" xfId="0" applyFont="1" applyFill="1" applyBorder="1" applyAlignment="1" applyProtection="1">
      <alignment horizontal="center" vertical="center" wrapText="1"/>
      <protection hidden="1"/>
    </xf>
    <xf numFmtId="4" fontId="3" fillId="0" borderId="0" xfId="2" applyNumberFormat="1" applyFont="1" applyFill="1" applyAlignment="1" applyProtection="1">
      <alignment horizontal="right" vertical="center" wrapText="1" readingOrder="1"/>
      <protection hidden="1"/>
    </xf>
    <xf numFmtId="4" fontId="3" fillId="0" borderId="5" xfId="2" applyNumberFormat="1" applyFont="1" applyFill="1" applyBorder="1" applyAlignment="1" applyProtection="1">
      <alignment horizontal="right" vertical="center" wrapText="1" readingOrder="1"/>
      <protection hidden="1"/>
    </xf>
    <xf numFmtId="0" fontId="8" fillId="0" borderId="0" xfId="0" applyFont="1" applyAlignment="1" applyProtection="1">
      <alignment vertical="center" wrapText="1"/>
      <protection hidden="1"/>
    </xf>
    <xf numFmtId="0" fontId="2" fillId="3" borderId="0" xfId="0" applyFont="1" applyFill="1" applyAlignment="1" applyProtection="1">
      <alignment horizontal="left" vertical="center" wrapText="1"/>
      <protection hidden="1"/>
    </xf>
    <xf numFmtId="0" fontId="3" fillId="0" borderId="0" xfId="0" applyFont="1" applyAlignment="1" applyProtection="1">
      <alignment horizontal="justify" wrapText="1"/>
      <protection hidden="1"/>
    </xf>
    <xf numFmtId="0" fontId="3" fillId="0" borderId="0" xfId="0" applyFont="1" applyAlignment="1" applyProtection="1">
      <alignment horizontal="right" vertical="center" wrapText="1"/>
      <protection hidden="1"/>
    </xf>
    <xf numFmtId="9" fontId="3" fillId="0" borderId="5" xfId="2" applyFont="1" applyBorder="1" applyAlignment="1" applyProtection="1">
      <alignment horizontal="right" vertical="center" wrapText="1"/>
      <protection hidden="1"/>
    </xf>
    <xf numFmtId="10" fontId="3" fillId="0" borderId="2" xfId="2" applyNumberFormat="1" applyFont="1" applyFill="1" applyBorder="1" applyAlignment="1" applyProtection="1">
      <alignment horizontal="right" vertical="center" wrapText="1"/>
      <protection hidden="1"/>
    </xf>
    <xf numFmtId="1" fontId="3" fillId="0" borderId="2" xfId="1" applyNumberFormat="1" applyFont="1" applyBorder="1" applyAlignment="1" applyProtection="1">
      <alignment horizontal="right" vertical="center" wrapText="1"/>
      <protection locked="0"/>
    </xf>
    <xf numFmtId="164" fontId="3" fillId="0" borderId="0" xfId="0" applyNumberFormat="1" applyFont="1" applyAlignment="1" applyProtection="1">
      <alignment vertical="center" wrapText="1"/>
      <protection hidden="1"/>
    </xf>
    <xf numFmtId="164" fontId="3" fillId="0" borderId="1" xfId="0" applyNumberFormat="1" applyFont="1" applyBorder="1" applyAlignment="1" applyProtection="1">
      <alignment horizontal="center" vertical="center" wrapText="1"/>
      <protection hidden="1"/>
    </xf>
    <xf numFmtId="164" fontId="3" fillId="0" borderId="0" xfId="0" applyNumberFormat="1" applyFont="1" applyAlignment="1" applyProtection="1">
      <alignment horizontal="right" vertical="center" wrapText="1"/>
      <protection hidden="1"/>
    </xf>
    <xf numFmtId="0" fontId="2" fillId="2" borderId="2" xfId="0" applyFont="1" applyFill="1" applyBorder="1" applyAlignment="1" applyProtection="1">
      <alignment vertical="center" wrapText="1"/>
      <protection hidden="1"/>
    </xf>
    <xf numFmtId="9" fontId="3" fillId="0" borderId="2" xfId="2" applyFont="1" applyBorder="1" applyAlignment="1" applyProtection="1">
      <alignment vertical="center" wrapText="1"/>
      <protection hidden="1"/>
    </xf>
    <xf numFmtId="164" fontId="3" fillId="0" borderId="13" xfId="0" applyNumberFormat="1" applyFont="1" applyBorder="1" applyAlignment="1" applyProtection="1">
      <alignment vertical="center" wrapText="1"/>
      <protection locked="0"/>
    </xf>
    <xf numFmtId="0" fontId="2" fillId="0" borderId="1" xfId="0" applyFont="1" applyBorder="1" applyAlignment="1" applyProtection="1">
      <alignment horizontal="center" vertical="center" wrapText="1"/>
      <protection hidden="1"/>
    </xf>
    <xf numFmtId="164" fontId="3" fillId="0" borderId="0" xfId="0" applyNumberFormat="1" applyFont="1" applyAlignment="1" applyProtection="1">
      <alignment horizontal="center" vertical="center" wrapText="1"/>
      <protection hidden="1"/>
    </xf>
    <xf numFmtId="166" fontId="3" fillId="0" borderId="5" xfId="0" applyNumberFormat="1" applyFont="1" applyBorder="1" applyAlignment="1" applyProtection="1">
      <alignment horizontal="right" vertical="center" wrapText="1"/>
      <protection hidden="1"/>
    </xf>
    <xf numFmtId="1" fontId="3" fillId="0" borderId="5" xfId="1" applyNumberFormat="1" applyFont="1" applyBorder="1" applyAlignment="1" applyProtection="1">
      <alignment horizontal="right" vertical="center" wrapText="1"/>
      <protection hidden="1"/>
    </xf>
    <xf numFmtId="10" fontId="3" fillId="0" borderId="5" xfId="0" applyNumberFormat="1" applyFont="1" applyBorder="1" applyAlignment="1" applyProtection="1">
      <alignment vertical="center" wrapText="1"/>
      <protection hidden="1"/>
    </xf>
    <xf numFmtId="0" fontId="3" fillId="0" borderId="5" xfId="0" applyFont="1" applyBorder="1" applyAlignment="1" applyProtection="1">
      <alignment horizontal="right" vertical="center" wrapText="1"/>
      <protection locked="0"/>
    </xf>
    <xf numFmtId="0" fontId="2" fillId="5" borderId="0" xfId="0" applyFont="1" applyFill="1" applyAlignment="1" applyProtection="1">
      <alignment vertical="center" wrapText="1"/>
      <protection hidden="1"/>
    </xf>
    <xf numFmtId="0" fontId="3" fillId="0" borderId="2" xfId="0" applyFont="1" applyBorder="1" applyAlignment="1" applyProtection="1">
      <alignment horizontal="justify" vertical="center" wrapText="1"/>
      <protection hidden="1"/>
    </xf>
    <xf numFmtId="0" fontId="3" fillId="0" borderId="13" xfId="0" applyFont="1" applyBorder="1" applyAlignment="1" applyProtection="1">
      <alignment vertical="center" wrapText="1"/>
      <protection hidden="1"/>
    </xf>
    <xf numFmtId="0" fontId="2" fillId="3" borderId="0" xfId="0" applyFont="1" applyFill="1" applyAlignment="1" applyProtection="1">
      <alignment horizontal="center" vertical="center" wrapText="1"/>
      <protection hidden="1"/>
    </xf>
    <xf numFmtId="0" fontId="2" fillId="3" borderId="2"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wrapText="1"/>
      <protection hidden="1"/>
    </xf>
    <xf numFmtId="4" fontId="3" fillId="0" borderId="2" xfId="0" applyNumberFormat="1" applyFont="1" applyBorder="1" applyAlignment="1" applyProtection="1">
      <alignment horizontal="right" vertical="center" wrapText="1"/>
      <protection hidden="1"/>
    </xf>
    <xf numFmtId="164" fontId="3" fillId="0" borderId="2" xfId="0" applyNumberFormat="1" applyFont="1" applyBorder="1" applyAlignment="1" applyProtection="1">
      <alignment horizontal="center" vertical="center" wrapText="1"/>
      <protection hidden="1"/>
    </xf>
    <xf numFmtId="10" fontId="3" fillId="0" borderId="23" xfId="0" applyNumberFormat="1" applyFont="1" applyBorder="1" applyAlignment="1" applyProtection="1">
      <alignment horizontal="center" vertical="center" wrapText="1"/>
      <protection hidden="1"/>
    </xf>
    <xf numFmtId="0" fontId="3" fillId="0" borderId="0" xfId="0" applyFont="1" applyAlignment="1" applyProtection="1">
      <alignment horizontal="justify" vertical="top" wrapText="1"/>
      <protection hidden="1"/>
    </xf>
    <xf numFmtId="0" fontId="3" fillId="0" borderId="0" xfId="0" applyFont="1" applyAlignment="1" applyProtection="1">
      <alignment vertical="top" wrapText="1"/>
      <protection hidden="1"/>
    </xf>
    <xf numFmtId="0" fontId="3" fillId="6" borderId="23" xfId="0" applyFont="1" applyFill="1" applyBorder="1" applyAlignment="1" applyProtection="1">
      <alignment horizontal="justify" vertical="center" wrapText="1"/>
      <protection hidden="1"/>
    </xf>
    <xf numFmtId="0" fontId="24" fillId="0" borderId="0" xfId="0" applyFont="1" applyAlignment="1" applyProtection="1">
      <alignment horizontal="center" vertical="center" wrapText="1"/>
      <protection hidden="1"/>
    </xf>
    <xf numFmtId="0" fontId="24" fillId="0" borderId="0" xfId="0" applyFont="1" applyAlignment="1" applyProtection="1">
      <alignment horizontal="center" vertical="center" textRotation="90" wrapText="1"/>
      <protection hidden="1"/>
    </xf>
    <xf numFmtId="0" fontId="24" fillId="0" borderId="0" xfId="0" applyFont="1" applyAlignment="1" applyProtection="1">
      <alignment horizontal="justify" wrapText="1"/>
      <protection hidden="1"/>
    </xf>
    <xf numFmtId="0" fontId="2" fillId="3" borderId="1" xfId="0" applyFont="1" applyFill="1" applyBorder="1" applyAlignment="1" applyProtection="1">
      <alignment horizontal="left" vertical="center" wrapText="1"/>
      <protection hidden="1"/>
    </xf>
    <xf numFmtId="0" fontId="3" fillId="0" borderId="0" xfId="0" applyFont="1" applyAlignment="1" applyProtection="1">
      <alignment wrapText="1"/>
      <protection hidden="1"/>
    </xf>
    <xf numFmtId="0" fontId="2" fillId="6" borderId="23" xfId="0" applyFont="1" applyFill="1" applyBorder="1" applyAlignment="1" applyProtection="1">
      <alignment horizontal="center" vertical="center" wrapText="1"/>
      <protection hidden="1"/>
    </xf>
    <xf numFmtId="0" fontId="15" fillId="0" borderId="0" xfId="0" applyFont="1" applyAlignment="1" applyProtection="1">
      <alignment horizontal="justify" vertical="center" wrapText="1"/>
      <protection hidden="1"/>
    </xf>
    <xf numFmtId="0" fontId="2" fillId="7" borderId="31" xfId="0" applyFont="1" applyFill="1" applyBorder="1" applyAlignment="1" applyProtection="1">
      <alignment horizontal="center" vertical="center" wrapText="1"/>
      <protection hidden="1"/>
    </xf>
    <xf numFmtId="0" fontId="2" fillId="7" borderId="32" xfId="0" applyFont="1" applyFill="1" applyBorder="1" applyAlignment="1" applyProtection="1">
      <alignment horizontal="center" vertical="center" wrapText="1"/>
      <protection hidden="1"/>
    </xf>
    <xf numFmtId="0" fontId="2" fillId="7" borderId="33" xfId="0" applyFont="1" applyFill="1" applyBorder="1" applyAlignment="1" applyProtection="1">
      <alignment horizontal="center" vertical="center" wrapText="1"/>
      <protection hidden="1"/>
    </xf>
    <xf numFmtId="0" fontId="3" fillId="7" borderId="3" xfId="0" applyFont="1" applyFill="1" applyBorder="1" applyAlignment="1" applyProtection="1">
      <alignment horizontal="center" vertical="center" wrapText="1"/>
      <protection hidden="1"/>
    </xf>
    <xf numFmtId="0" fontId="15" fillId="0" borderId="3" xfId="0" applyFont="1" applyBorder="1" applyAlignment="1" applyProtection="1">
      <alignment horizontal="center" vertical="center" wrapText="1"/>
      <protection hidden="1"/>
    </xf>
    <xf numFmtId="0" fontId="15" fillId="7" borderId="3" xfId="0" applyFont="1" applyFill="1" applyBorder="1" applyAlignment="1" applyProtection="1">
      <alignment horizontal="center" vertical="center" wrapText="1"/>
      <protection hidden="1"/>
    </xf>
    <xf numFmtId="0" fontId="3" fillId="8" borderId="3" xfId="0" applyFont="1" applyFill="1" applyBorder="1" applyAlignment="1" applyProtection="1">
      <alignment horizontal="center" vertical="center" wrapText="1"/>
      <protection hidden="1"/>
    </xf>
    <xf numFmtId="0" fontId="2" fillId="8" borderId="4" xfId="0" applyFont="1" applyFill="1" applyBorder="1" applyAlignment="1" applyProtection="1">
      <alignment horizontal="center" vertical="center" wrapText="1"/>
      <protection hidden="1"/>
    </xf>
    <xf numFmtId="0" fontId="2" fillId="8" borderId="5" xfId="0" applyFont="1" applyFill="1" applyBorder="1" applyAlignment="1" applyProtection="1">
      <alignment horizontal="center" vertical="center" wrapText="1"/>
      <protection hidden="1"/>
    </xf>
    <xf numFmtId="0" fontId="2" fillId="8" borderId="6" xfId="0" applyFont="1" applyFill="1" applyBorder="1" applyAlignment="1" applyProtection="1">
      <alignment horizontal="center" vertical="center" wrapText="1"/>
      <protection hidden="1"/>
    </xf>
    <xf numFmtId="10" fontId="15" fillId="0" borderId="3" xfId="0" applyNumberFormat="1" applyFont="1" applyBorder="1" applyAlignment="1" applyProtection="1">
      <alignment horizontal="right" vertical="center" wrapText="1"/>
      <protection hidden="1"/>
    </xf>
    <xf numFmtId="0" fontId="15" fillId="0" borderId="3" xfId="0" applyFont="1" applyBorder="1" applyAlignment="1" applyProtection="1">
      <alignment horizontal="right" vertical="center" wrapText="1"/>
      <protection hidden="1"/>
    </xf>
    <xf numFmtId="0" fontId="2" fillId="3" borderId="0" xfId="0" applyFont="1" applyFill="1" applyAlignment="1" applyProtection="1">
      <alignment horizontal="center" vertical="center" wrapText="1" readingOrder="1"/>
      <protection hidden="1"/>
    </xf>
    <xf numFmtId="0" fontId="15" fillId="0" borderId="30" xfId="0" applyFont="1" applyBorder="1" applyAlignment="1" applyProtection="1">
      <alignment horizontal="left" vertical="center" wrapText="1"/>
      <protection hidden="1"/>
    </xf>
    <xf numFmtId="0" fontId="15" fillId="0" borderId="30" xfId="0" applyFont="1" applyBorder="1" applyAlignment="1" applyProtection="1">
      <alignment horizontal="justify" vertical="center" wrapText="1"/>
      <protection hidden="1"/>
    </xf>
    <xf numFmtId="0" fontId="3" fillId="0" borderId="23" xfId="0" applyFont="1" applyBorder="1" applyAlignment="1" applyProtection="1">
      <alignment horizontal="center" vertical="center" wrapText="1"/>
      <protection hidden="1"/>
    </xf>
    <xf numFmtId="0" fontId="15" fillId="0" borderId="23" xfId="0" applyFont="1" applyBorder="1" applyAlignment="1" applyProtection="1">
      <alignment horizontal="left" vertical="center" wrapText="1"/>
      <protection hidden="1"/>
    </xf>
    <xf numFmtId="174" fontId="15" fillId="0" borderId="23" xfId="0" applyNumberFormat="1" applyFont="1" applyBorder="1" applyAlignment="1" applyProtection="1">
      <alignment horizontal="right" vertical="center" wrapText="1"/>
      <protection hidden="1"/>
    </xf>
    <xf numFmtId="0" fontId="15" fillId="0" borderId="23" xfId="0" applyFont="1" applyBorder="1" applyAlignment="1" applyProtection="1">
      <alignment horizontal="justify" vertical="center" wrapText="1"/>
      <protection hidden="1"/>
    </xf>
    <xf numFmtId="2" fontId="15" fillId="0" borderId="23" xfId="0" applyNumberFormat="1" applyFont="1" applyBorder="1" applyAlignment="1" applyProtection="1">
      <alignment horizontal="right" vertical="center" wrapText="1"/>
      <protection hidden="1"/>
    </xf>
    <xf numFmtId="0" fontId="3" fillId="3" borderId="0" xfId="0" applyFont="1" applyFill="1" applyAlignment="1" applyProtection="1">
      <alignment horizontal="center" vertical="center" wrapText="1" readingOrder="1"/>
      <protection hidden="1"/>
    </xf>
    <xf numFmtId="0" fontId="3" fillId="3" borderId="24" xfId="0" applyFont="1" applyFill="1" applyBorder="1" applyAlignment="1" applyProtection="1">
      <alignment horizontal="center" vertical="center" wrapText="1" readingOrder="1"/>
      <protection hidden="1"/>
    </xf>
    <xf numFmtId="0" fontId="3" fillId="3" borderId="23" xfId="0" applyFont="1" applyFill="1" applyBorder="1" applyAlignment="1" applyProtection="1">
      <alignment horizontal="center" vertical="center" wrapText="1"/>
      <protection hidden="1"/>
    </xf>
    <xf numFmtId="0" fontId="3" fillId="7" borderId="23" xfId="0" applyFont="1" applyFill="1" applyBorder="1" applyAlignment="1" applyProtection="1">
      <alignment horizontal="center" vertical="center" wrapText="1"/>
      <protection hidden="1"/>
    </xf>
    <xf numFmtId="0" fontId="16" fillId="0" borderId="23" xfId="0" applyFont="1" applyBorder="1" applyAlignment="1" applyProtection="1">
      <alignment horizontal="left" vertical="center" wrapText="1"/>
      <protection hidden="1"/>
    </xf>
    <xf numFmtId="0" fontId="16" fillId="0" borderId="23" xfId="0" applyFont="1" applyBorder="1" applyAlignment="1" applyProtection="1">
      <alignment horizontal="right" vertical="center" wrapText="1"/>
      <protection hidden="1"/>
    </xf>
    <xf numFmtId="9" fontId="16" fillId="0" borderId="23" xfId="0" applyNumberFormat="1" applyFont="1" applyBorder="1" applyAlignment="1" applyProtection="1">
      <alignment horizontal="right" vertical="center" wrapText="1"/>
      <protection hidden="1"/>
    </xf>
    <xf numFmtId="0" fontId="3" fillId="7" borderId="23" xfId="0" applyFont="1" applyFill="1" applyBorder="1" applyAlignment="1" applyProtection="1">
      <alignment horizontal="center" vertical="center" textRotation="90" wrapText="1"/>
      <protection hidden="1"/>
    </xf>
    <xf numFmtId="0" fontId="2" fillId="3" borderId="24" xfId="0" applyFont="1" applyFill="1" applyBorder="1" applyAlignment="1" applyProtection="1">
      <alignment horizontal="center" vertical="center" wrapText="1" readingOrder="1"/>
      <protection hidden="1"/>
    </xf>
    <xf numFmtId="0" fontId="3" fillId="7" borderId="26" xfId="0" applyFont="1" applyFill="1" applyBorder="1" applyAlignment="1" applyProtection="1">
      <alignment horizontal="center" vertical="center" wrapText="1"/>
      <protection hidden="1"/>
    </xf>
    <xf numFmtId="0" fontId="3" fillId="7" borderId="27" xfId="0" applyFont="1" applyFill="1" applyBorder="1" applyAlignment="1" applyProtection="1">
      <alignment horizontal="center" vertical="center" wrapText="1"/>
      <protection hidden="1"/>
    </xf>
    <xf numFmtId="0" fontId="3" fillId="7" borderId="28" xfId="0" applyFont="1" applyFill="1" applyBorder="1" applyAlignment="1" applyProtection="1">
      <alignment horizontal="center" vertical="center" wrapText="1"/>
      <protection hidden="1"/>
    </xf>
    <xf numFmtId="0" fontId="3" fillId="7" borderId="29" xfId="0" applyFont="1" applyFill="1" applyBorder="1" applyAlignment="1" applyProtection="1">
      <alignment horizontal="center" vertical="center" wrapText="1"/>
      <protection hidden="1"/>
    </xf>
    <xf numFmtId="169" fontId="7" fillId="5" borderId="10" xfId="0" applyNumberFormat="1" applyFont="1" applyFill="1" applyBorder="1" applyAlignment="1" applyProtection="1">
      <alignment horizontal="left" vertical="center"/>
      <protection hidden="1"/>
    </xf>
    <xf numFmtId="169" fontId="7" fillId="5" borderId="7" xfId="0" applyNumberFormat="1" applyFont="1" applyFill="1" applyBorder="1" applyAlignment="1" applyProtection="1">
      <alignment horizontal="left" vertical="center"/>
      <protection hidden="1"/>
    </xf>
    <xf numFmtId="169" fontId="7" fillId="5" borderId="11" xfId="0" applyNumberFormat="1" applyFont="1" applyFill="1" applyBorder="1" applyAlignment="1" applyProtection="1">
      <alignment horizontal="left" vertical="center"/>
      <protection hidden="1"/>
    </xf>
    <xf numFmtId="0" fontId="7" fillId="0" borderId="3" xfId="0" applyFont="1" applyBorder="1" applyAlignment="1" applyProtection="1">
      <alignment vertical="center" wrapText="1"/>
      <protection hidden="1"/>
    </xf>
    <xf numFmtId="0" fontId="0" fillId="0" borderId="3" xfId="0" applyBorder="1" applyAlignment="1" applyProtection="1">
      <alignment vertical="center"/>
      <protection hidden="1"/>
    </xf>
    <xf numFmtId="0" fontId="7" fillId="0" borderId="4" xfId="0" applyFont="1" applyBorder="1" applyAlignment="1" applyProtection="1">
      <alignment vertical="center" wrapText="1"/>
      <protection hidden="1"/>
    </xf>
    <xf numFmtId="0" fontId="7" fillId="0" borderId="5" xfId="0" applyFont="1" applyBorder="1" applyAlignment="1" applyProtection="1">
      <alignment vertical="center" wrapText="1"/>
      <protection hidden="1"/>
    </xf>
    <xf numFmtId="0" fontId="10" fillId="0" borderId="4" xfId="0" applyFont="1" applyBorder="1" applyProtection="1">
      <protection hidden="1"/>
    </xf>
    <xf numFmtId="0" fontId="10" fillId="0" borderId="5" xfId="0" applyFont="1" applyBorder="1" applyProtection="1">
      <protection hidden="1"/>
    </xf>
    <xf numFmtId="0" fontId="10" fillId="0" borderId="6" xfId="0" applyFont="1" applyBorder="1" applyProtection="1">
      <protection hidden="1"/>
    </xf>
    <xf numFmtId="169" fontId="7" fillId="5" borderId="8" xfId="0" applyNumberFormat="1" applyFont="1" applyFill="1" applyBorder="1" applyAlignment="1" applyProtection="1">
      <alignment horizontal="left" vertical="center"/>
      <protection hidden="1"/>
    </xf>
    <xf numFmtId="169" fontId="7" fillId="5" borderId="0" xfId="0" applyNumberFormat="1" applyFont="1" applyFill="1" applyAlignment="1" applyProtection="1">
      <alignment horizontal="left" vertical="center"/>
      <protection hidden="1"/>
    </xf>
    <xf numFmtId="169" fontId="7" fillId="5" borderId="9" xfId="0" applyNumberFormat="1" applyFont="1" applyFill="1" applyBorder="1" applyAlignment="1" applyProtection="1">
      <alignment horizontal="left" vertical="center"/>
      <protection hidden="1"/>
    </xf>
    <xf numFmtId="0" fontId="10" fillId="0" borderId="3" xfId="0" applyFont="1" applyBorder="1" applyProtection="1">
      <protection hidden="1"/>
    </xf>
    <xf numFmtId="0" fontId="7" fillId="0" borderId="0" xfId="0" applyFont="1" applyAlignment="1" applyProtection="1">
      <alignment vertical="center"/>
      <protection hidden="1"/>
    </xf>
    <xf numFmtId="0" fontId="0" fillId="0" borderId="3" xfId="0" applyBorder="1" applyProtection="1">
      <protection hidden="1"/>
    </xf>
    <xf numFmtId="0" fontId="0" fillId="0" borderId="4" xfId="0" applyBorder="1" applyAlignment="1" applyProtection="1">
      <alignment vertical="center"/>
      <protection hidden="1"/>
    </xf>
    <xf numFmtId="0" fontId="0" fillId="0" borderId="5" xfId="0" applyBorder="1" applyAlignment="1" applyProtection="1">
      <alignment vertical="center"/>
      <protection hidden="1"/>
    </xf>
    <xf numFmtId="0" fontId="0" fillId="0" borderId="6" xfId="0" applyBorder="1" applyAlignment="1" applyProtection="1">
      <alignment vertical="center"/>
      <protection hidden="1"/>
    </xf>
    <xf numFmtId="0" fontId="0" fillId="0" borderId="3" xfId="0" applyBorder="1" applyAlignment="1" applyProtection="1">
      <alignment vertical="center" shrinkToFit="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11" fillId="0" borderId="0" xfId="0" applyFont="1" applyAlignment="1" applyProtection="1">
      <alignment horizontal="center" vertical="center"/>
      <protection locked="0"/>
    </xf>
    <xf numFmtId="0" fontId="11" fillId="0" borderId="0" xfId="0" applyFont="1" applyAlignment="1" applyProtection="1">
      <alignment horizontal="center" vertical="center"/>
      <protection hidden="1"/>
    </xf>
    <xf numFmtId="3" fontId="0" fillId="0" borderId="3" xfId="0" applyNumberFormat="1" applyBorder="1" applyAlignment="1" applyProtection="1">
      <alignment vertical="center"/>
      <protection hidden="1"/>
    </xf>
    <xf numFmtId="0" fontId="0" fillId="0" borderId="0" xfId="0" applyProtection="1">
      <protection hidden="1"/>
    </xf>
    <xf numFmtId="0" fontId="9" fillId="0" borderId="0" xfId="0" applyFont="1" applyAlignment="1" applyProtection="1">
      <alignment vertical="center"/>
      <protection hidden="1"/>
    </xf>
    <xf numFmtId="0" fontId="0" fillId="0" borderId="17" xfId="0" applyBorder="1" applyProtection="1">
      <protection hidden="1"/>
    </xf>
    <xf numFmtId="0" fontId="0" fillId="0" borderId="18" xfId="0" applyBorder="1" applyProtection="1">
      <protection hidden="1"/>
    </xf>
    <xf numFmtId="0" fontId="0" fillId="0" borderId="19" xfId="0" applyBorder="1" applyProtection="1">
      <protection hidden="1"/>
    </xf>
    <xf numFmtId="20" fontId="0" fillId="0" borderId="21" xfId="0" applyNumberFormat="1" applyBorder="1" applyProtection="1">
      <protection hidden="1"/>
    </xf>
    <xf numFmtId="20" fontId="0" fillId="0" borderId="20" xfId="0" applyNumberFormat="1" applyBorder="1" applyProtection="1">
      <protection hidden="1"/>
    </xf>
    <xf numFmtId="20" fontId="0" fillId="0" borderId="22" xfId="0" applyNumberFormat="1" applyBorder="1" applyProtection="1">
      <protection hidden="1"/>
    </xf>
    <xf numFmtId="0" fontId="0" fillId="0" borderId="17" xfId="0" applyBorder="1" applyAlignment="1" applyProtection="1">
      <alignment vertical="center"/>
      <protection hidden="1"/>
    </xf>
    <xf numFmtId="0" fontId="0" fillId="0" borderId="18" xfId="0" applyBorder="1" applyAlignment="1" applyProtection="1">
      <alignment vertical="center"/>
      <protection hidden="1"/>
    </xf>
    <xf numFmtId="0" fontId="0" fillId="0" borderId="19" xfId="0" applyBorder="1" applyAlignment="1" applyProtection="1">
      <alignment vertical="center"/>
      <protection hidden="1"/>
    </xf>
    <xf numFmtId="0" fontId="0" fillId="0" borderId="21" xfId="0" applyBorder="1" applyAlignment="1" applyProtection="1">
      <alignment vertical="center"/>
      <protection hidden="1"/>
    </xf>
    <xf numFmtId="0" fontId="0" fillId="0" borderId="20" xfId="0" applyBorder="1" applyAlignment="1" applyProtection="1">
      <alignment vertical="center"/>
      <protection hidden="1"/>
    </xf>
    <xf numFmtId="0" fontId="0" fillId="0" borderId="22" xfId="0" applyBorder="1" applyAlignment="1" applyProtection="1">
      <alignment vertical="center"/>
      <protection hidden="1"/>
    </xf>
    <xf numFmtId="0" fontId="0" fillId="0" borderId="2" xfId="0" applyBorder="1" applyProtection="1">
      <protection hidden="1"/>
    </xf>
  </cellXfs>
  <cellStyles count="4">
    <cellStyle name="Moeda" xfId="3" builtinId="4"/>
    <cellStyle name="Normal" xfId="0" builtinId="0"/>
    <cellStyle name="Porcentagem" xfId="2" builtinId="5"/>
    <cellStyle name="Vírgula" xfId="1" builtinId="3"/>
  </cellStyles>
  <dxfs count="11">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3" tint="0.749961851863155"/>
        </patternFill>
      </fill>
    </dxf>
    <dxf>
      <fill>
        <patternFill>
          <bgColor rgb="FFFFFF00"/>
        </patternFill>
      </fill>
    </dxf>
    <dxf>
      <fill>
        <patternFill>
          <bgColor theme="3" tint="0.749961851863155"/>
        </patternFill>
      </fill>
    </dxf>
    <dxf>
      <fill>
        <patternFill>
          <bgColor rgb="FFFFFF00"/>
        </patternFill>
      </fill>
    </dxf>
    <dxf>
      <fill>
        <patternFill>
          <bgColor theme="3" tint="0.749961851863155"/>
        </patternFill>
      </fill>
    </dxf>
    <dxf>
      <font>
        <color auto="1"/>
      </font>
      <fill>
        <patternFill>
          <bgColor rgb="FFFFFF00"/>
        </patternFill>
      </fill>
    </dxf>
    <dxf>
      <fill>
        <patternFill>
          <bgColor rgb="FFFFFF00"/>
        </patternFill>
      </fill>
    </dxf>
  </dxfs>
  <tableStyles count="0" defaultTableStyle="TableStyleMedium2" defaultPivotStyle="PivotStyleLight16"/>
  <colors>
    <mruColors>
      <color rgb="FF213A8F"/>
      <color rgb="FFB8C5EE"/>
      <color rgb="FFE52621"/>
      <color rgb="FFFFFFFF"/>
      <color rgb="FF010101"/>
      <color rgb="FFB9CFD9"/>
      <color rgb="FF156082"/>
      <color rgb="FF5B9BD5"/>
      <color rgb="FF99ACE7"/>
      <color rgb="FFCEDC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Fatores dos itens da amostra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Ref>
              <c:f>'TERRENO E BENFEITORIAS'!$J$53:$J$64</c:f>
              <c:numCache>
                <c:formatCode>#,##0.00_ ;[Red]\-#,##0.00\ </c:formatCode>
                <c:ptCount val="12"/>
                <c:pt idx="0">
                  <c:v>1</c:v>
                </c:pt>
                <c:pt idx="1">
                  <c:v>1</c:v>
                </c:pt>
                <c:pt idx="2">
                  <c:v>1</c:v>
                </c:pt>
                <c:pt idx="3">
                  <c:v>1</c:v>
                </c:pt>
                <c:pt idx="4">
                  <c:v>0.90000000000000036</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0-856B-4272-AB9B-2BD4692A542C}"/>
            </c:ext>
          </c:extLst>
        </c:ser>
        <c:dLbls>
          <c:showLegendKey val="0"/>
          <c:showVal val="0"/>
          <c:showCatName val="0"/>
          <c:showSerName val="0"/>
          <c:showPercent val="0"/>
          <c:showBubbleSize val="0"/>
        </c:dLbls>
        <c:gapWidth val="219"/>
        <c:overlap val="-27"/>
        <c:axId val="884650287"/>
        <c:axId val="863456463"/>
      </c:barChart>
      <c:catAx>
        <c:axId val="884650287"/>
        <c:scaling>
          <c:orientation val="minMax"/>
        </c:scaling>
        <c:delete val="0"/>
        <c:axPos val="b"/>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Faixa de variação dos fatores por melhoramentos públicos</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1"/>
          <c:order val="1"/>
          <c:tx>
            <c:v>Elementos da amostra após a homogeneização</c:v>
          </c:tx>
          <c:spPr>
            <a:solidFill>
              <a:schemeClr val="tx2">
                <a:lumMod val="75000"/>
                <a:lumOff val="25000"/>
              </a:schemeClr>
            </a:solidFill>
            <a:ln>
              <a:noFill/>
            </a:ln>
            <a:effectLst/>
          </c:spPr>
          <c:invertIfNegative val="0"/>
          <c:val>
            <c:numRef>
              <c:f>'TERRENO E BENFEITORIAS'!$H$197:$H$208</c:f>
              <c:numCache>
                <c:formatCode>#,##0.00_ ;[Red]\-#,##0.00\ </c:formatCode>
                <c:ptCount val="12"/>
                <c:pt idx="0">
                  <c:v>1.9</c:v>
                </c:pt>
                <c:pt idx="1">
                  <c:v>1.9</c:v>
                </c:pt>
                <c:pt idx="2">
                  <c:v>1.9</c:v>
                </c:pt>
                <c:pt idx="3">
                  <c:v>1.9</c:v>
                </c:pt>
                <c:pt idx="4">
                  <c:v>1.9</c:v>
                </c:pt>
                <c:pt idx="5">
                  <c:v>1.9</c:v>
                </c:pt>
                <c:pt idx="6">
                  <c:v>1.9</c:v>
                </c:pt>
                <c:pt idx="7">
                  <c:v>1.9</c:v>
                </c:pt>
                <c:pt idx="8">
                  <c:v>1.9</c:v>
                </c:pt>
                <c:pt idx="9">
                  <c:v>1.9</c:v>
                </c:pt>
                <c:pt idx="10">
                  <c:v>1.9</c:v>
                </c:pt>
                <c:pt idx="11">
                  <c:v>1.9</c:v>
                </c:pt>
              </c:numCache>
            </c:numRef>
          </c:val>
          <c:extLst>
            <c:ext xmlns:c16="http://schemas.microsoft.com/office/drawing/2014/chart" uri="{C3380CC4-5D6E-409C-BE32-E72D297353CC}">
              <c16:uniqueId val="{0000000C-8D06-4913-933A-EA4A9E906649}"/>
            </c:ext>
          </c:extLst>
        </c:ser>
        <c:ser>
          <c:idx val="3"/>
          <c:order val="3"/>
          <c:tx>
            <c:v>Faixa inalterável</c:v>
          </c:tx>
          <c:spPr>
            <a:solidFill>
              <a:schemeClr val="bg1">
                <a:lumMod val="95000"/>
              </a:schemeClr>
            </a:solidFill>
            <a:ln>
              <a:noFill/>
            </a:ln>
            <a:effectLst/>
          </c:spPr>
          <c:invertIfNegative val="0"/>
          <c:val>
            <c:numRef>
              <c:f>'TERRENO E BENFEITORIAS'!$W$166:$W$177</c:f>
              <c:numCache>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D-8D06-4913-933A-EA4A9E906649}"/>
            </c:ext>
          </c:extLst>
        </c:ser>
        <c:dLbls>
          <c:showLegendKey val="0"/>
          <c:showVal val="0"/>
          <c:showCatName val="0"/>
          <c:showSerName val="0"/>
          <c:showPercent val="0"/>
          <c:showBubbleSize val="0"/>
        </c:dLbls>
        <c:gapWidth val="219"/>
        <c:overlap val="100"/>
        <c:axId val="1095974352"/>
        <c:axId val="1095975312"/>
      </c:barChart>
      <c:lineChart>
        <c:grouping val="standard"/>
        <c:varyColors val="0"/>
        <c:ser>
          <c:idx val="0"/>
          <c:order val="0"/>
          <c:tx>
            <c:v>Fator mínimo</c:v>
          </c:tx>
          <c:spPr>
            <a:ln w="28575" cap="rnd">
              <a:solidFill>
                <a:schemeClr val="tx2">
                  <a:lumMod val="50000"/>
                  <a:lumOff val="50000"/>
                </a:schemeClr>
              </a:solidFill>
              <a:round/>
            </a:ln>
            <a:effectLst/>
          </c:spPr>
          <c:marker>
            <c:symbol val="none"/>
          </c:marker>
          <c:val>
            <c:numRef>
              <c:f>'TERRENO E BENFEITORIAS'!$T$166:$T$177</c:f>
              <c:numCache>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E-8D06-4913-933A-EA4A9E906649}"/>
            </c:ext>
          </c:extLst>
        </c:ser>
        <c:ser>
          <c:idx val="2"/>
          <c:order val="2"/>
          <c:tx>
            <c:v>Fator máximo</c:v>
          </c:tx>
          <c:spPr>
            <a:ln w="28575" cap="rnd">
              <a:solidFill>
                <a:schemeClr val="bg1">
                  <a:lumMod val="50000"/>
                </a:schemeClr>
              </a:solidFill>
              <a:round/>
            </a:ln>
            <a:effectLst/>
          </c:spPr>
          <c:marker>
            <c:symbol val="none"/>
          </c:marker>
          <c:val>
            <c:numRef>
              <c:f>'TERRENO E BENFEITORIAS'!$V$166:$V$177</c:f>
              <c:numCache>
                <c:formatCode>General</c:formatCode>
                <c:ptCount val="12"/>
                <c:pt idx="0">
                  <c:v>1.82</c:v>
                </c:pt>
                <c:pt idx="1">
                  <c:v>1.82</c:v>
                </c:pt>
                <c:pt idx="2">
                  <c:v>1.82</c:v>
                </c:pt>
                <c:pt idx="3">
                  <c:v>1.82</c:v>
                </c:pt>
                <c:pt idx="4">
                  <c:v>1.82</c:v>
                </c:pt>
                <c:pt idx="5">
                  <c:v>1.82</c:v>
                </c:pt>
                <c:pt idx="6">
                  <c:v>1.82</c:v>
                </c:pt>
                <c:pt idx="7">
                  <c:v>1.82</c:v>
                </c:pt>
                <c:pt idx="8">
                  <c:v>1.82</c:v>
                </c:pt>
                <c:pt idx="9">
                  <c:v>1.82</c:v>
                </c:pt>
                <c:pt idx="10">
                  <c:v>1.82</c:v>
                </c:pt>
                <c:pt idx="11">
                  <c:v>1.82</c:v>
                </c:pt>
              </c:numCache>
            </c:numRef>
          </c:val>
          <c:smooth val="0"/>
          <c:extLst>
            <c:ext xmlns:c16="http://schemas.microsoft.com/office/drawing/2014/chart" uri="{C3380CC4-5D6E-409C-BE32-E72D297353CC}">
              <c16:uniqueId val="{0000000F-8D06-4913-933A-EA4A9E906649}"/>
            </c:ext>
          </c:extLst>
        </c:ser>
        <c:dLbls>
          <c:showLegendKey val="0"/>
          <c:showVal val="0"/>
          <c:showCatName val="0"/>
          <c:showSerName val="0"/>
          <c:showPercent val="0"/>
          <c:showBubbleSize val="0"/>
        </c:dLbls>
        <c:marker val="1"/>
        <c:smooth val="0"/>
        <c:axId val="1095974352"/>
        <c:axId val="1095975312"/>
      </c:lineChart>
      <c:catAx>
        <c:axId val="10959743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1095975312"/>
        <c:crosses val="autoZero"/>
        <c:auto val="1"/>
        <c:lblAlgn val="ctr"/>
        <c:lblOffset val="100"/>
        <c:noMultiLvlLbl val="0"/>
      </c:catAx>
      <c:valAx>
        <c:axId val="1095975312"/>
        <c:scaling>
          <c:orientation val="minMax"/>
          <c:max val="2"/>
          <c:min val="0"/>
        </c:scaling>
        <c:delete val="0"/>
        <c:axPos val="l"/>
        <c:numFmt formatCode="#,##0.00_ ;[Red]\-#,##0.0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1095974352"/>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Comparação: itens da amostra e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Ref>
              <c:f>'TERRENO E BENFEITORIAS'!$J$53:$J$64</c:f>
              <c:numCache>
                <c:formatCode>#,##0.00_ ;[Red]\-#,##0.00\ </c:formatCode>
                <c:ptCount val="12"/>
                <c:pt idx="0">
                  <c:v>1</c:v>
                </c:pt>
                <c:pt idx="1">
                  <c:v>1</c:v>
                </c:pt>
                <c:pt idx="2">
                  <c:v>1</c:v>
                </c:pt>
                <c:pt idx="3">
                  <c:v>1</c:v>
                </c:pt>
                <c:pt idx="4">
                  <c:v>0.90000000000000036</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0-AEE4-4CF8-812E-E46FA56CA779}"/>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AEE4-4CF8-812E-E46FA56CA779}"/>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Ajuste dos itens da amostra ao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0-6DCF-41DA-8038-187D049CAA9F}"/>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6DCF-41DA-8038-187D049CAA9F}"/>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General"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
            </a:r>
            <a:r>
              <a:rPr lang="en-US" sz="1000" b="1" baseline="0"/>
              <a:t>ator do bem avaliando</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Ajuste ao bem avaliando</c:v>
          </c:tx>
          <c:spPr>
            <a:solidFill>
              <a:schemeClr val="accent1"/>
            </a:solidFill>
            <a:ln>
              <a:noFill/>
            </a:ln>
            <a:effectLst/>
          </c:spPr>
          <c:invertIfNegative val="0"/>
          <c:val>
            <c:numRef>
              <c:f>'TERRENO E BENFEITORIAS'!$L$53:$L$64</c:f>
              <c:numCache>
                <c:formatCode>#,##0.00_ ;[Red]\-#,##0.00\ </c:formatCode>
                <c:ptCount val="12"/>
                <c:pt idx="0">
                  <c:v>0.95000000000000018</c:v>
                </c:pt>
                <c:pt idx="1">
                  <c:v>0.95000000000000018</c:v>
                </c:pt>
                <c:pt idx="2">
                  <c:v>0.95000000000000018</c:v>
                </c:pt>
                <c:pt idx="3">
                  <c:v>0.95000000000000018</c:v>
                </c:pt>
                <c:pt idx="4">
                  <c:v>0.95000000000000018</c:v>
                </c:pt>
                <c:pt idx="5">
                  <c:v>0.95000000000000018</c:v>
                </c:pt>
                <c:pt idx="6">
                  <c:v>0.95000000000000018</c:v>
                </c:pt>
                <c:pt idx="7">
                  <c:v>0.95000000000000018</c:v>
                </c:pt>
                <c:pt idx="8">
                  <c:v>0.95000000000000018</c:v>
                </c:pt>
                <c:pt idx="9">
                  <c:v>0.95000000000000018</c:v>
                </c:pt>
                <c:pt idx="10">
                  <c:v>0.95000000000000018</c:v>
                </c:pt>
                <c:pt idx="11">
                  <c:v>0.95000000000000018</c:v>
                </c:pt>
              </c:numCache>
            </c:numRef>
          </c:val>
          <c:extLst>
            <c:ext xmlns:c16="http://schemas.microsoft.com/office/drawing/2014/chart" uri="{C3380CC4-5D6E-409C-BE32-E72D297353CC}">
              <c16:uniqueId val="{00000000-5C1A-48B0-B3F8-D5672AAA8F67}"/>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5C1A-48B0-B3F8-D5672AAA8F67}"/>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pt-BR" sz="1050" b="1"/>
              <a:t>Proporções</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tx>
            <c:v>Proporção das partes em relação ao todo</c:v>
          </c:tx>
          <c:spPr>
            <a:ln w="0">
              <a:noFill/>
            </a:ln>
          </c:spPr>
          <c:dPt>
            <c:idx val="0"/>
            <c:bubble3D val="0"/>
            <c:spPr>
              <a:solidFill>
                <a:srgbClr val="156082"/>
              </a:solidFill>
              <a:ln w="0">
                <a:noFill/>
              </a:ln>
              <a:effectLst/>
            </c:spPr>
            <c:extLst>
              <c:ext xmlns:c16="http://schemas.microsoft.com/office/drawing/2014/chart" uri="{C3380CC4-5D6E-409C-BE32-E72D297353CC}">
                <c16:uniqueId val="{00000001-EF66-494A-9BAB-511415BB6FC3}"/>
              </c:ext>
            </c:extLst>
          </c:dPt>
          <c:dPt>
            <c:idx val="1"/>
            <c:bubble3D val="0"/>
            <c:spPr>
              <a:solidFill>
                <a:srgbClr val="B9CFD9"/>
              </a:solidFill>
              <a:ln w="0">
                <a:noFill/>
              </a:ln>
              <a:effectLst/>
            </c:spPr>
            <c:extLst>
              <c:ext xmlns:c16="http://schemas.microsoft.com/office/drawing/2014/chart" uri="{C3380CC4-5D6E-409C-BE32-E72D297353CC}">
                <c16:uniqueId val="{00000003-EF66-494A-9BAB-511415BB6FC3}"/>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2"/>
              <c:pt idx="0">
                <c:v>Terreno</c:v>
              </c:pt>
              <c:pt idx="1">
                <c:v>Edificações</c:v>
              </c:pt>
            </c:strLit>
          </c:cat>
          <c:val>
            <c:numRef>
              <c:f>'TERRENO E BENFEITORIAS'!$W$452:$W$453</c:f>
              <c:numCache>
                <c:formatCode>0.00%</c:formatCode>
                <c:ptCount val="2"/>
                <c:pt idx="0">
                  <c:v>0.62234915998585216</c:v>
                </c:pt>
                <c:pt idx="1">
                  <c:v>0.37765084001414784</c:v>
                </c:pt>
              </c:numCache>
            </c:numRef>
          </c:val>
          <c:extLst>
            <c:ext xmlns:c16="http://schemas.microsoft.com/office/drawing/2014/chart" uri="{C3380CC4-5D6E-409C-BE32-E72D297353CC}">
              <c16:uniqueId val="{00000004-EF66-494A-9BAB-511415BB6FC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a:outerShdw blurRad="50800" dist="38100" dir="2700000" algn="tl" rotWithShape="0">
        <a:prstClr val="black">
          <a:alpha val="40000"/>
        </a:prstClr>
      </a:outerShdw>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(intervalo em torno da média)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3"/>
          <c:order val="0"/>
          <c:tx>
            <c:strRef>
              <c:f>'TERRENO E BENFEITORIAS'!$Y$240</c:f>
              <c:strCache>
                <c:ptCount val="1"/>
                <c:pt idx="0">
                  <c:v>Média</c:v>
                </c:pt>
              </c:strCache>
            </c:strRef>
          </c:tx>
          <c:spPr>
            <a:ln w="19050" cap="sq">
              <a:solidFill>
                <a:schemeClr val="tx1">
                  <a:lumMod val="65000"/>
                  <a:lumOff val="35000"/>
                </a:schemeClr>
              </a:solidFill>
              <a:prstDash val="dash"/>
              <a:round/>
            </a:ln>
            <a:effectLst/>
          </c:spPr>
          <c:marker>
            <c:symbol val="none"/>
          </c:marker>
          <c:val>
            <c:numRef>
              <c:f>'TERRENO E BENFEITORIAS'!$Y$241:$Y$252</c:f>
              <c:numCache>
                <c:formatCode>#,##0.00_ ;[Red]\-#,##0.00\ </c:formatCode>
                <c:ptCount val="12"/>
                <c:pt idx="0">
                  <c:v>510.38573328625245</c:v>
                </c:pt>
                <c:pt idx="1">
                  <c:v>510.38573328625245</c:v>
                </c:pt>
                <c:pt idx="2">
                  <c:v>510.38573328625245</c:v>
                </c:pt>
                <c:pt idx="3">
                  <c:v>510.38573328625245</c:v>
                </c:pt>
                <c:pt idx="4">
                  <c:v>510.38573328625245</c:v>
                </c:pt>
                <c:pt idx="5">
                  <c:v>510.38573328625245</c:v>
                </c:pt>
                <c:pt idx="6">
                  <c:v>510.38573328625245</c:v>
                </c:pt>
                <c:pt idx="7">
                  <c:v>510.38573328625245</c:v>
                </c:pt>
                <c:pt idx="8">
                  <c:v>510.38573328625245</c:v>
                </c:pt>
                <c:pt idx="9">
                  <c:v>510.38573328625245</c:v>
                </c:pt>
                <c:pt idx="10">
                  <c:v>510.38573328625245</c:v>
                </c:pt>
                <c:pt idx="11">
                  <c:v>510.38573328625245</c:v>
                </c:pt>
              </c:numCache>
            </c:numRef>
          </c:val>
          <c:smooth val="0"/>
          <c:extLst>
            <c:ext xmlns:c16="http://schemas.microsoft.com/office/drawing/2014/chart" uri="{C3380CC4-5D6E-409C-BE32-E72D297353CC}">
              <c16:uniqueId val="{00000000-484F-41FF-9D0C-44D82ACD1104}"/>
            </c:ext>
          </c:extLst>
        </c:ser>
        <c:ser>
          <c:idx val="2"/>
          <c:order val="2"/>
          <c:tx>
            <c:strRef>
              <c:f>'TERRENO E BENFEITORIAS'!$X$240</c:f>
              <c:strCache>
                <c:ptCount val="1"/>
                <c:pt idx="0">
                  <c:v>Limite superior</c:v>
                </c:pt>
              </c:strCache>
            </c:strRef>
          </c:tx>
          <c:spPr>
            <a:ln w="12700" cap="sq">
              <a:solidFill>
                <a:srgbClr val="0070C0"/>
              </a:solidFill>
              <a:prstDash val="solid"/>
              <a:round/>
            </a:ln>
            <a:effectLst/>
          </c:spPr>
          <c:marker>
            <c:symbol val="none"/>
          </c:marker>
          <c:val>
            <c:numRef>
              <c:f>'TERRENO E BENFEITORIAS'!$X$241:$X$252</c:f>
              <c:numCache>
                <c:formatCode>#,##0.00_ ;[Red]\-#,##0.00\ </c:formatCode>
                <c:ptCount val="12"/>
                <c:pt idx="0">
                  <c:v>663.50145327212817</c:v>
                </c:pt>
                <c:pt idx="1">
                  <c:v>663.50145327212817</c:v>
                </c:pt>
                <c:pt idx="2">
                  <c:v>663.50145327212817</c:v>
                </c:pt>
                <c:pt idx="3">
                  <c:v>663.50145327212817</c:v>
                </c:pt>
                <c:pt idx="4">
                  <c:v>663.50145327212817</c:v>
                </c:pt>
                <c:pt idx="5">
                  <c:v>663.50145327212817</c:v>
                </c:pt>
                <c:pt idx="6">
                  <c:v>663.50145327212817</c:v>
                </c:pt>
                <c:pt idx="7">
                  <c:v>663.50145327212817</c:v>
                </c:pt>
                <c:pt idx="8">
                  <c:v>663.50145327212817</c:v>
                </c:pt>
                <c:pt idx="9">
                  <c:v>663.50145327212817</c:v>
                </c:pt>
                <c:pt idx="10">
                  <c:v>663.50145327212817</c:v>
                </c:pt>
                <c:pt idx="11">
                  <c:v>663.50145327212817</c:v>
                </c:pt>
              </c:numCache>
            </c:numRef>
          </c:val>
          <c:smooth val="0"/>
          <c:extLst>
            <c:ext xmlns:c16="http://schemas.microsoft.com/office/drawing/2014/chart" uri="{C3380CC4-5D6E-409C-BE32-E72D297353CC}">
              <c16:uniqueId val="{00000001-484F-41FF-9D0C-44D82ACD1104}"/>
            </c:ext>
          </c:extLst>
        </c:ser>
        <c:ser>
          <c:idx val="1"/>
          <c:order val="3"/>
          <c:tx>
            <c:strRef>
              <c:f>'TERRENO E BENFEITORIAS'!$W$240</c:f>
              <c:strCache>
                <c:ptCount val="1"/>
                <c:pt idx="0">
                  <c:v>Limite inferior</c:v>
                </c:pt>
              </c:strCache>
            </c:strRef>
          </c:tx>
          <c:spPr>
            <a:ln w="12700" cap="sq">
              <a:solidFill>
                <a:srgbClr val="FF0000"/>
              </a:solidFill>
              <a:round/>
            </a:ln>
            <a:effectLst/>
          </c:spPr>
          <c:marker>
            <c:symbol val="none"/>
          </c:marker>
          <c:val>
            <c:numRef>
              <c:f>'TERRENO E BENFEITORIAS'!$W$241:$W$252</c:f>
              <c:numCache>
                <c:formatCode>#,##0.00_ ;[Red]\-#,##0.00\ </c:formatCode>
                <c:ptCount val="12"/>
                <c:pt idx="0">
                  <c:v>357.27001330037672</c:v>
                </c:pt>
                <c:pt idx="1">
                  <c:v>357.27001330037672</c:v>
                </c:pt>
                <c:pt idx="2">
                  <c:v>357.27001330037672</c:v>
                </c:pt>
                <c:pt idx="3">
                  <c:v>357.27001330037672</c:v>
                </c:pt>
                <c:pt idx="4">
                  <c:v>357.27001330037672</c:v>
                </c:pt>
                <c:pt idx="5">
                  <c:v>357.27001330037672</c:v>
                </c:pt>
                <c:pt idx="6">
                  <c:v>357.27001330037672</c:v>
                </c:pt>
                <c:pt idx="7">
                  <c:v>357.27001330037672</c:v>
                </c:pt>
                <c:pt idx="8">
                  <c:v>357.27001330037672</c:v>
                </c:pt>
                <c:pt idx="9">
                  <c:v>357.27001330037672</c:v>
                </c:pt>
                <c:pt idx="10">
                  <c:v>357.27001330037672</c:v>
                </c:pt>
                <c:pt idx="11">
                  <c:v>357.27001330037672</c:v>
                </c:pt>
              </c:numCache>
            </c:numRef>
          </c:val>
          <c:smooth val="0"/>
          <c:extLst>
            <c:ext xmlns:c16="http://schemas.microsoft.com/office/drawing/2014/chart" uri="{C3380CC4-5D6E-409C-BE32-E72D297353CC}">
              <c16:uniqueId val="{00000002-484F-41FF-9D0C-44D82ACD1104}"/>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1"/>
          <c:tx>
            <c:strRef>
              <c:f>'TERRENO E BENFEITORIAS'!$B$233</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BENFEITORIAS'!$B$234:$B$245</c:f>
              <c:numCache>
                <c:formatCode>#,##0.00_ ;[Red]\-#,##0.00\ </c:formatCode>
                <c:ptCount val="12"/>
                <c:pt idx="0">
                  <c:v>475.00000000000011</c:v>
                </c:pt>
                <c:pt idx="1">
                  <c:v>480.93750000000011</c:v>
                </c:pt>
                <c:pt idx="2">
                  <c:v>527.25000000000011</c:v>
                </c:pt>
                <c:pt idx="3">
                  <c:v>541.50000000000011</c:v>
                </c:pt>
                <c:pt idx="4">
                  <c:v>585.83333333333326</c:v>
                </c:pt>
                <c:pt idx="5">
                  <c:v>513.00000000000011</c:v>
                </c:pt>
                <c:pt idx="6">
                  <c:v>427.50000000000006</c:v>
                </c:pt>
                <c:pt idx="7">
                  <c:v>530.10000000000014</c:v>
                </c:pt>
                <c:pt idx="8">
                  <c:v>526.68000000000006</c:v>
                </c:pt>
                <c:pt idx="9">
                  <c:v>538.65000000000009</c:v>
                </c:pt>
                <c:pt idx="10">
                  <c:v>427.50000000000006</c:v>
                </c:pt>
                <c:pt idx="11">
                  <c:v>550.67796610169501</c:v>
                </c:pt>
              </c:numCache>
            </c:numRef>
          </c:yVal>
          <c:smooth val="0"/>
          <c:extLst>
            <c:ext xmlns:c16="http://schemas.microsoft.com/office/drawing/2014/chart" uri="{C3380CC4-5D6E-409C-BE32-E72D297353CC}">
              <c16:uniqueId val="{00000003-484F-41FF-9D0C-44D82ACD1104}"/>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showDLblsOverMax val="0"/>
    <c:extLst/>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Chauvenet)</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2"/>
          <c:order val="1"/>
          <c:tx>
            <c:strRef>
              <c:f>'TERRENO E BENFEITORIAS'!$Y$283</c:f>
              <c:strCache>
                <c:ptCount val="1"/>
                <c:pt idx="0">
                  <c:v>Média</c:v>
                </c:pt>
              </c:strCache>
            </c:strRef>
          </c:tx>
          <c:spPr>
            <a:ln w="19050" cap="rnd">
              <a:solidFill>
                <a:schemeClr val="tx1">
                  <a:lumMod val="65000"/>
                  <a:lumOff val="35000"/>
                </a:schemeClr>
              </a:solidFill>
              <a:prstDash val="dash"/>
              <a:round/>
            </a:ln>
            <a:effectLst/>
          </c:spPr>
          <c:marker>
            <c:symbol val="none"/>
          </c:marker>
          <c:val>
            <c:numRef>
              <c:f>'TERRENO E BENFEITORIAS'!$Y$284:$Y$295</c:f>
              <c:numCache>
                <c:formatCode>#,##0.00_ ;[Red]\-#,##0.00\ </c:formatCode>
                <c:ptCount val="12"/>
                <c:pt idx="0">
                  <c:v>510.38573328625245</c:v>
                </c:pt>
                <c:pt idx="1">
                  <c:v>510.38573328625245</c:v>
                </c:pt>
                <c:pt idx="2">
                  <c:v>510.38573328625245</c:v>
                </c:pt>
                <c:pt idx="3">
                  <c:v>510.38573328625245</c:v>
                </c:pt>
                <c:pt idx="4">
                  <c:v>510.38573328625245</c:v>
                </c:pt>
                <c:pt idx="5">
                  <c:v>510.38573328625245</c:v>
                </c:pt>
                <c:pt idx="6">
                  <c:v>510.38573328625245</c:v>
                </c:pt>
                <c:pt idx="7">
                  <c:v>510.38573328625245</c:v>
                </c:pt>
                <c:pt idx="8">
                  <c:v>510.38573328625245</c:v>
                </c:pt>
                <c:pt idx="9">
                  <c:v>510.38573328625245</c:v>
                </c:pt>
                <c:pt idx="10">
                  <c:v>510.38573328625245</c:v>
                </c:pt>
                <c:pt idx="11">
                  <c:v>510.38573328625245</c:v>
                </c:pt>
              </c:numCache>
            </c:numRef>
          </c:val>
          <c:smooth val="0"/>
          <c:extLst>
            <c:ext xmlns:c16="http://schemas.microsoft.com/office/drawing/2014/chart" uri="{C3380CC4-5D6E-409C-BE32-E72D297353CC}">
              <c16:uniqueId val="{00000000-DDF0-4DE9-AAF2-3FDD6E683B54}"/>
            </c:ext>
          </c:extLst>
        </c:ser>
        <c:ser>
          <c:idx val="1"/>
          <c:order val="2"/>
          <c:tx>
            <c:strRef>
              <c:f>'TERRENO E BENFEITORIAS'!$W$283</c:f>
              <c:strCache>
                <c:ptCount val="1"/>
                <c:pt idx="0">
                  <c:v>Limite inferior</c:v>
                </c:pt>
              </c:strCache>
            </c:strRef>
          </c:tx>
          <c:spPr>
            <a:ln w="12700" cap="sq">
              <a:solidFill>
                <a:srgbClr val="FF0000"/>
              </a:solidFill>
              <a:round/>
            </a:ln>
            <a:effectLst/>
          </c:spPr>
          <c:marker>
            <c:symbol val="none"/>
          </c:marker>
          <c:val>
            <c:numRef>
              <c:f>'TERRENO E BENFEITORIAS'!$W$284:$W$295</c:f>
              <c:numCache>
                <c:formatCode>#,##0.00_ ;[Red]\-#,##0.00\ </c:formatCode>
                <c:ptCount val="12"/>
                <c:pt idx="0">
                  <c:v>411.57474693410467</c:v>
                </c:pt>
                <c:pt idx="1">
                  <c:v>411.57474693410467</c:v>
                </c:pt>
                <c:pt idx="2">
                  <c:v>411.57474693410467</c:v>
                </c:pt>
                <c:pt idx="3">
                  <c:v>411.57474693410467</c:v>
                </c:pt>
                <c:pt idx="4">
                  <c:v>411.57474693410467</c:v>
                </c:pt>
                <c:pt idx="5">
                  <c:v>411.57474693410467</c:v>
                </c:pt>
                <c:pt idx="6">
                  <c:v>411.57474693410467</c:v>
                </c:pt>
                <c:pt idx="7">
                  <c:v>411.57474693410467</c:v>
                </c:pt>
                <c:pt idx="8">
                  <c:v>411.57474693410467</c:v>
                </c:pt>
                <c:pt idx="9">
                  <c:v>411.57474693410467</c:v>
                </c:pt>
                <c:pt idx="10">
                  <c:v>411.57474693410467</c:v>
                </c:pt>
                <c:pt idx="11">
                  <c:v>411.57474693410467</c:v>
                </c:pt>
              </c:numCache>
            </c:numRef>
          </c:val>
          <c:smooth val="0"/>
          <c:extLst>
            <c:ext xmlns:c16="http://schemas.microsoft.com/office/drawing/2014/chart" uri="{C3380CC4-5D6E-409C-BE32-E72D297353CC}">
              <c16:uniqueId val="{00000001-DDF0-4DE9-AAF2-3FDD6E683B54}"/>
            </c:ext>
          </c:extLst>
        </c:ser>
        <c:ser>
          <c:idx val="3"/>
          <c:order val="3"/>
          <c:tx>
            <c:strRef>
              <c:f>'TERRENO E BENFEITORIAS'!$X$283</c:f>
              <c:strCache>
                <c:ptCount val="1"/>
                <c:pt idx="0">
                  <c:v>Limite superior</c:v>
                </c:pt>
              </c:strCache>
            </c:strRef>
          </c:tx>
          <c:spPr>
            <a:ln w="12700" cap="sq">
              <a:solidFill>
                <a:schemeClr val="tx2">
                  <a:lumMod val="50000"/>
                  <a:lumOff val="50000"/>
                </a:schemeClr>
              </a:solidFill>
              <a:prstDash val="solid"/>
              <a:round/>
            </a:ln>
            <a:effectLst/>
          </c:spPr>
          <c:marker>
            <c:symbol val="none"/>
          </c:marker>
          <c:val>
            <c:numRef>
              <c:f>'TERRENO E BENFEITORIAS'!$X$284:$X$295</c:f>
              <c:numCache>
                <c:formatCode>#,##0.00_ ;[Red]\-#,##0.00\ </c:formatCode>
                <c:ptCount val="12"/>
                <c:pt idx="0">
                  <c:v>609.19671963840028</c:v>
                </c:pt>
                <c:pt idx="1">
                  <c:v>609.19671963840028</c:v>
                </c:pt>
                <c:pt idx="2">
                  <c:v>609.19671963840028</c:v>
                </c:pt>
                <c:pt idx="3">
                  <c:v>609.19671963840028</c:v>
                </c:pt>
                <c:pt idx="4">
                  <c:v>609.19671963840028</c:v>
                </c:pt>
                <c:pt idx="5">
                  <c:v>609.19671963840028</c:v>
                </c:pt>
                <c:pt idx="6">
                  <c:v>609.19671963840028</c:v>
                </c:pt>
                <c:pt idx="7">
                  <c:v>609.19671963840028</c:v>
                </c:pt>
                <c:pt idx="8">
                  <c:v>609.19671963840028</c:v>
                </c:pt>
                <c:pt idx="9">
                  <c:v>609.19671963840028</c:v>
                </c:pt>
                <c:pt idx="10">
                  <c:v>609.19671963840028</c:v>
                </c:pt>
                <c:pt idx="11">
                  <c:v>609.19671963840028</c:v>
                </c:pt>
              </c:numCache>
            </c:numRef>
          </c:val>
          <c:smooth val="0"/>
          <c:extLst>
            <c:ext xmlns:c16="http://schemas.microsoft.com/office/drawing/2014/chart" uri="{C3380CC4-5D6E-409C-BE32-E72D297353CC}">
              <c16:uniqueId val="{00000002-DDF0-4DE9-AAF2-3FDD6E683B54}"/>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'TERRENO E BENFEITORIAS'!$B$267</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BENFEITORIAS'!$B$268:$B$279</c:f>
              <c:numCache>
                <c:formatCode>#,##0.00_ ;[Red]\-#,##0.00\ </c:formatCode>
                <c:ptCount val="12"/>
                <c:pt idx="0">
                  <c:v>475.00000000000011</c:v>
                </c:pt>
                <c:pt idx="1">
                  <c:v>480.93750000000011</c:v>
                </c:pt>
                <c:pt idx="2">
                  <c:v>527.25000000000011</c:v>
                </c:pt>
                <c:pt idx="3">
                  <c:v>541.50000000000011</c:v>
                </c:pt>
                <c:pt idx="4">
                  <c:v>585.83333333333326</c:v>
                </c:pt>
                <c:pt idx="5">
                  <c:v>513.00000000000011</c:v>
                </c:pt>
                <c:pt idx="6">
                  <c:v>427.50000000000006</c:v>
                </c:pt>
                <c:pt idx="7">
                  <c:v>530.10000000000014</c:v>
                </c:pt>
                <c:pt idx="8">
                  <c:v>526.68000000000006</c:v>
                </c:pt>
                <c:pt idx="9">
                  <c:v>538.65000000000009</c:v>
                </c:pt>
                <c:pt idx="10">
                  <c:v>427.50000000000006</c:v>
                </c:pt>
                <c:pt idx="11">
                  <c:v>550.67796610169501</c:v>
                </c:pt>
              </c:numCache>
            </c:numRef>
          </c:yVal>
          <c:smooth val="0"/>
          <c:extLst>
            <c:ext xmlns:c16="http://schemas.microsoft.com/office/drawing/2014/chart" uri="{C3380CC4-5D6E-409C-BE32-E72D297353CC}">
              <c16:uniqueId val="{00000003-DDF0-4DE9-AAF2-3FDD6E683B54}"/>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Arley)</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1"/>
          <c:order val="1"/>
          <c:tx>
            <c:strRef>
              <c:f>'TERRENO E BENFEITORIAS'!$Y$323</c:f>
              <c:strCache>
                <c:ptCount val="1"/>
                <c:pt idx="0">
                  <c:v>Média</c:v>
                </c:pt>
              </c:strCache>
            </c:strRef>
          </c:tx>
          <c:spPr>
            <a:ln w="19050" cap="sq">
              <a:solidFill>
                <a:schemeClr val="tx1">
                  <a:lumMod val="75000"/>
                  <a:lumOff val="25000"/>
                </a:schemeClr>
              </a:solidFill>
              <a:prstDash val="dash"/>
              <a:round/>
            </a:ln>
            <a:effectLst/>
          </c:spPr>
          <c:marker>
            <c:symbol val="none"/>
          </c:marker>
          <c:val>
            <c:numRef>
              <c:f>'TERRENO E BENFEITORIAS'!$Y$324:$Y$335</c:f>
              <c:numCache>
                <c:formatCode>#,##0.00_ ;[Red]\-#,##0.00\ </c:formatCode>
                <c:ptCount val="12"/>
                <c:pt idx="0">
                  <c:v>510.38573328625245</c:v>
                </c:pt>
                <c:pt idx="1">
                  <c:v>510.38573328625245</c:v>
                </c:pt>
                <c:pt idx="2">
                  <c:v>510.38573328625245</c:v>
                </c:pt>
                <c:pt idx="3">
                  <c:v>510.38573328625245</c:v>
                </c:pt>
                <c:pt idx="4">
                  <c:v>510.38573328625245</c:v>
                </c:pt>
                <c:pt idx="5">
                  <c:v>510.38573328625245</c:v>
                </c:pt>
                <c:pt idx="6">
                  <c:v>510.38573328625245</c:v>
                </c:pt>
                <c:pt idx="7">
                  <c:v>510.38573328625245</c:v>
                </c:pt>
                <c:pt idx="8">
                  <c:v>510.38573328625245</c:v>
                </c:pt>
                <c:pt idx="9">
                  <c:v>510.38573328625245</c:v>
                </c:pt>
                <c:pt idx="10">
                  <c:v>510.38573328625245</c:v>
                </c:pt>
                <c:pt idx="11">
                  <c:v>510.38573328625245</c:v>
                </c:pt>
              </c:numCache>
            </c:numRef>
          </c:val>
          <c:smooth val="0"/>
          <c:extLst>
            <c:ext xmlns:c16="http://schemas.microsoft.com/office/drawing/2014/chart" uri="{C3380CC4-5D6E-409C-BE32-E72D297353CC}">
              <c16:uniqueId val="{00000000-F6AC-49A8-8BA0-5C08782582A7}"/>
            </c:ext>
          </c:extLst>
        </c:ser>
        <c:ser>
          <c:idx val="3"/>
          <c:order val="2"/>
          <c:tx>
            <c:strRef>
              <c:f>'TERRENO E BENFEITORIAS'!$W$323</c:f>
              <c:strCache>
                <c:ptCount val="1"/>
                <c:pt idx="0">
                  <c:v>Limite inferior</c:v>
                </c:pt>
              </c:strCache>
            </c:strRef>
          </c:tx>
          <c:spPr>
            <a:ln w="12700" cap="sq">
              <a:solidFill>
                <a:srgbClr val="FF0000"/>
              </a:solidFill>
              <a:round/>
            </a:ln>
            <a:effectLst/>
          </c:spPr>
          <c:marker>
            <c:symbol val="none"/>
          </c:marker>
          <c:val>
            <c:numRef>
              <c:f>'TERRENO E BENFEITORIAS'!$W$324:$W$335</c:f>
              <c:numCache>
                <c:formatCode>#,##0.00_ ;[Red]\-#,##0.00\ </c:formatCode>
                <c:ptCount val="12"/>
                <c:pt idx="0">
                  <c:v>396.48928320766441</c:v>
                </c:pt>
                <c:pt idx="1">
                  <c:v>396.48928320766441</c:v>
                </c:pt>
                <c:pt idx="2">
                  <c:v>396.48928320766441</c:v>
                </c:pt>
                <c:pt idx="3">
                  <c:v>396.48928320766441</c:v>
                </c:pt>
                <c:pt idx="4">
                  <c:v>396.48928320766441</c:v>
                </c:pt>
                <c:pt idx="5">
                  <c:v>396.48928320766441</c:v>
                </c:pt>
                <c:pt idx="6">
                  <c:v>396.48928320766441</c:v>
                </c:pt>
                <c:pt idx="7">
                  <c:v>396.48928320766441</c:v>
                </c:pt>
                <c:pt idx="8">
                  <c:v>396.48928320766441</c:v>
                </c:pt>
                <c:pt idx="9">
                  <c:v>396.48928320766441</c:v>
                </c:pt>
                <c:pt idx="10">
                  <c:v>396.48928320766441</c:v>
                </c:pt>
                <c:pt idx="11">
                  <c:v>396.48928320766441</c:v>
                </c:pt>
              </c:numCache>
            </c:numRef>
          </c:val>
          <c:smooth val="0"/>
          <c:extLst>
            <c:ext xmlns:c16="http://schemas.microsoft.com/office/drawing/2014/chart" uri="{C3380CC4-5D6E-409C-BE32-E72D297353CC}">
              <c16:uniqueId val="{00000001-F6AC-49A8-8BA0-5C08782582A7}"/>
            </c:ext>
          </c:extLst>
        </c:ser>
        <c:ser>
          <c:idx val="2"/>
          <c:order val="3"/>
          <c:tx>
            <c:strRef>
              <c:f>'TERRENO E BENFEITORIAS'!$X$323</c:f>
              <c:strCache>
                <c:ptCount val="1"/>
                <c:pt idx="0">
                  <c:v>Limite superior</c:v>
                </c:pt>
              </c:strCache>
            </c:strRef>
          </c:tx>
          <c:spPr>
            <a:ln w="12700" cap="sq">
              <a:solidFill>
                <a:schemeClr val="tx2">
                  <a:lumMod val="50000"/>
                  <a:lumOff val="50000"/>
                </a:schemeClr>
              </a:solidFill>
              <a:round/>
            </a:ln>
            <a:effectLst/>
          </c:spPr>
          <c:marker>
            <c:symbol val="none"/>
          </c:marker>
          <c:val>
            <c:numRef>
              <c:f>'TERRENO E BENFEITORIAS'!$X$324:$X$335</c:f>
              <c:numCache>
                <c:formatCode>#,##0.00_ ;[Red]\-#,##0.00\ </c:formatCode>
                <c:ptCount val="12"/>
                <c:pt idx="0">
                  <c:v>624.28218336484042</c:v>
                </c:pt>
                <c:pt idx="1">
                  <c:v>624.28218336484042</c:v>
                </c:pt>
                <c:pt idx="2">
                  <c:v>624.28218336484042</c:v>
                </c:pt>
                <c:pt idx="3">
                  <c:v>624.28218336484042</c:v>
                </c:pt>
                <c:pt idx="4">
                  <c:v>624.28218336484042</c:v>
                </c:pt>
                <c:pt idx="5">
                  <c:v>624.28218336484042</c:v>
                </c:pt>
                <c:pt idx="6">
                  <c:v>624.28218336484042</c:v>
                </c:pt>
                <c:pt idx="7">
                  <c:v>624.28218336484042</c:v>
                </c:pt>
                <c:pt idx="8">
                  <c:v>624.28218336484042</c:v>
                </c:pt>
                <c:pt idx="9">
                  <c:v>624.28218336484042</c:v>
                </c:pt>
                <c:pt idx="10">
                  <c:v>624.28218336484042</c:v>
                </c:pt>
                <c:pt idx="11">
                  <c:v>624.28218336484042</c:v>
                </c:pt>
              </c:numCache>
            </c:numRef>
          </c:val>
          <c:smooth val="0"/>
          <c:extLst>
            <c:ext xmlns:c16="http://schemas.microsoft.com/office/drawing/2014/chart" uri="{C3380CC4-5D6E-409C-BE32-E72D297353CC}">
              <c16:uniqueId val="{00000002-F6AC-49A8-8BA0-5C08782582A7}"/>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'TERRENO E BENFEITORIAS'!$B$304</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BENFEITORIAS'!$B$305:$B$316</c:f>
              <c:numCache>
                <c:formatCode>#,##0.00_ ;[Red]\-#,##0.00\ </c:formatCode>
                <c:ptCount val="12"/>
                <c:pt idx="0">
                  <c:v>475.00000000000011</c:v>
                </c:pt>
                <c:pt idx="1">
                  <c:v>480.93750000000011</c:v>
                </c:pt>
                <c:pt idx="2">
                  <c:v>527.25000000000011</c:v>
                </c:pt>
                <c:pt idx="3">
                  <c:v>541.50000000000011</c:v>
                </c:pt>
                <c:pt idx="4">
                  <c:v>585.83333333333326</c:v>
                </c:pt>
                <c:pt idx="5">
                  <c:v>513.00000000000011</c:v>
                </c:pt>
                <c:pt idx="6">
                  <c:v>427.50000000000006</c:v>
                </c:pt>
                <c:pt idx="7">
                  <c:v>530.10000000000014</c:v>
                </c:pt>
                <c:pt idx="8">
                  <c:v>526.68000000000006</c:v>
                </c:pt>
                <c:pt idx="9">
                  <c:v>538.65000000000009</c:v>
                </c:pt>
                <c:pt idx="10">
                  <c:v>427.50000000000006</c:v>
                </c:pt>
                <c:pt idx="11">
                  <c:v>550.67796610169501</c:v>
                </c:pt>
              </c:numCache>
            </c:numRef>
          </c:yVal>
          <c:smooth val="0"/>
          <c:extLst>
            <c:ext xmlns:c16="http://schemas.microsoft.com/office/drawing/2014/chart" uri="{C3380CC4-5D6E-409C-BE32-E72D297353CC}">
              <c16:uniqueId val="{00000003-F6AC-49A8-8BA0-5C08782582A7}"/>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7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Faixa de variação dos fatores por melhoramentos públicos</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1"/>
          <c:order val="1"/>
          <c:tx>
            <c:v>Elementos da amostra antes da homogeneização</c:v>
          </c:tx>
          <c:spPr>
            <a:solidFill>
              <a:srgbClr val="FF0000"/>
            </a:solidFill>
            <a:ln>
              <a:noFill/>
            </a:ln>
            <a:effectLst/>
          </c:spPr>
          <c:invertIfNegative val="0"/>
          <c:val>
            <c:numRef>
              <c:f>'TERRENO E BENFEITORIAS'!$U$166:$U$177</c:f>
              <c:numCache>
                <c:formatCode>#,##0.00_ ;[Red]\-#,##0.00\ </c:formatCode>
                <c:ptCount val="12"/>
                <c:pt idx="0">
                  <c:v>1.9</c:v>
                </c:pt>
                <c:pt idx="1">
                  <c:v>1.9</c:v>
                </c:pt>
                <c:pt idx="2">
                  <c:v>1.9</c:v>
                </c:pt>
                <c:pt idx="3">
                  <c:v>1.9</c:v>
                </c:pt>
                <c:pt idx="4">
                  <c:v>1.9</c:v>
                </c:pt>
                <c:pt idx="5">
                  <c:v>1.9</c:v>
                </c:pt>
                <c:pt idx="6">
                  <c:v>1.9</c:v>
                </c:pt>
                <c:pt idx="7">
                  <c:v>1.9</c:v>
                </c:pt>
                <c:pt idx="8">
                  <c:v>1.9</c:v>
                </c:pt>
                <c:pt idx="9">
                  <c:v>1.9</c:v>
                </c:pt>
                <c:pt idx="10">
                  <c:v>1.9</c:v>
                </c:pt>
                <c:pt idx="11">
                  <c:v>1.9</c:v>
                </c:pt>
              </c:numCache>
            </c:numRef>
          </c:val>
          <c:extLst>
            <c:ext xmlns:c16="http://schemas.microsoft.com/office/drawing/2014/chart" uri="{C3380CC4-5D6E-409C-BE32-E72D297353CC}">
              <c16:uniqueId val="{0000000C-64EE-4234-9212-7AF31F565007}"/>
            </c:ext>
          </c:extLst>
        </c:ser>
        <c:ser>
          <c:idx val="3"/>
          <c:order val="3"/>
          <c:tx>
            <c:v>Faixa inalterável</c:v>
          </c:tx>
          <c:spPr>
            <a:solidFill>
              <a:schemeClr val="bg1">
                <a:lumMod val="95000"/>
              </a:schemeClr>
            </a:solidFill>
            <a:ln>
              <a:noFill/>
            </a:ln>
            <a:effectLst/>
          </c:spPr>
          <c:invertIfNegative val="0"/>
          <c:val>
            <c:numRef>
              <c:f>'TERRENO E BENFEITORIAS'!$W$166:$W$177</c:f>
              <c:numCache>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D-64EE-4234-9212-7AF31F565007}"/>
            </c:ext>
          </c:extLst>
        </c:ser>
        <c:dLbls>
          <c:showLegendKey val="0"/>
          <c:showVal val="0"/>
          <c:showCatName val="0"/>
          <c:showSerName val="0"/>
          <c:showPercent val="0"/>
          <c:showBubbleSize val="0"/>
        </c:dLbls>
        <c:gapWidth val="219"/>
        <c:overlap val="100"/>
        <c:axId val="1095974352"/>
        <c:axId val="1095975312"/>
      </c:barChart>
      <c:lineChart>
        <c:grouping val="standard"/>
        <c:varyColors val="0"/>
        <c:ser>
          <c:idx val="0"/>
          <c:order val="0"/>
          <c:tx>
            <c:v>Fator mínimo</c:v>
          </c:tx>
          <c:spPr>
            <a:ln w="28575" cap="rnd">
              <a:solidFill>
                <a:schemeClr val="tx2">
                  <a:lumMod val="50000"/>
                  <a:lumOff val="50000"/>
                </a:schemeClr>
              </a:solidFill>
              <a:round/>
            </a:ln>
            <a:effectLst/>
          </c:spPr>
          <c:marker>
            <c:symbol val="none"/>
          </c:marker>
          <c:val>
            <c:numRef>
              <c:f>'TERRENO E BENFEITORIAS'!$T$166:$T$177</c:f>
              <c:numCache>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E-64EE-4234-9212-7AF31F565007}"/>
            </c:ext>
          </c:extLst>
        </c:ser>
        <c:ser>
          <c:idx val="2"/>
          <c:order val="2"/>
          <c:tx>
            <c:v>Fator máximo</c:v>
          </c:tx>
          <c:spPr>
            <a:ln w="28575" cap="rnd">
              <a:solidFill>
                <a:schemeClr val="bg1">
                  <a:lumMod val="50000"/>
                </a:schemeClr>
              </a:solidFill>
              <a:round/>
            </a:ln>
            <a:effectLst/>
          </c:spPr>
          <c:marker>
            <c:symbol val="none"/>
          </c:marker>
          <c:val>
            <c:numRef>
              <c:f>'TERRENO E BENFEITORIAS'!$V$166:$V$177</c:f>
              <c:numCache>
                <c:formatCode>General</c:formatCode>
                <c:ptCount val="12"/>
                <c:pt idx="0">
                  <c:v>1.82</c:v>
                </c:pt>
                <c:pt idx="1">
                  <c:v>1.82</c:v>
                </c:pt>
                <c:pt idx="2">
                  <c:v>1.82</c:v>
                </c:pt>
                <c:pt idx="3">
                  <c:v>1.82</c:v>
                </c:pt>
                <c:pt idx="4">
                  <c:v>1.82</c:v>
                </c:pt>
                <c:pt idx="5">
                  <c:v>1.82</c:v>
                </c:pt>
                <c:pt idx="6">
                  <c:v>1.82</c:v>
                </c:pt>
                <c:pt idx="7">
                  <c:v>1.82</c:v>
                </c:pt>
                <c:pt idx="8">
                  <c:v>1.82</c:v>
                </c:pt>
                <c:pt idx="9">
                  <c:v>1.82</c:v>
                </c:pt>
                <c:pt idx="10">
                  <c:v>1.82</c:v>
                </c:pt>
                <c:pt idx="11">
                  <c:v>1.82</c:v>
                </c:pt>
              </c:numCache>
            </c:numRef>
          </c:val>
          <c:smooth val="0"/>
          <c:extLst>
            <c:ext xmlns:c16="http://schemas.microsoft.com/office/drawing/2014/chart" uri="{C3380CC4-5D6E-409C-BE32-E72D297353CC}">
              <c16:uniqueId val="{0000000F-64EE-4234-9212-7AF31F565007}"/>
            </c:ext>
          </c:extLst>
        </c:ser>
        <c:dLbls>
          <c:showLegendKey val="0"/>
          <c:showVal val="0"/>
          <c:showCatName val="0"/>
          <c:showSerName val="0"/>
          <c:showPercent val="0"/>
          <c:showBubbleSize val="0"/>
        </c:dLbls>
        <c:marker val="1"/>
        <c:smooth val="0"/>
        <c:axId val="1095974352"/>
        <c:axId val="1095975312"/>
      </c:lineChart>
      <c:catAx>
        <c:axId val="10959743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1095975312"/>
        <c:crosses val="autoZero"/>
        <c:auto val="1"/>
        <c:lblAlgn val="ctr"/>
        <c:lblOffset val="100"/>
        <c:noMultiLvlLbl val="0"/>
      </c:catAx>
      <c:valAx>
        <c:axId val="1095975312"/>
        <c:scaling>
          <c:orientation val="minMax"/>
          <c:max val="2"/>
          <c:min val="0"/>
        </c:scaling>
        <c:delete val="0"/>
        <c:axPos val="l"/>
        <c:numFmt formatCode="#,##0.00_ ;[Red]\-#,##0.0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1095974352"/>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chart" Target="../charts/chart10.xml"/><Relationship Id="rId3" Type="http://schemas.openxmlformats.org/officeDocument/2006/relationships/chart" Target="../charts/chart2.xml"/><Relationship Id="rId7" Type="http://schemas.openxmlformats.org/officeDocument/2006/relationships/image" Target="../media/image3.png"/><Relationship Id="rId12" Type="http://schemas.openxmlformats.org/officeDocument/2006/relationships/chart" Target="../charts/chart9.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image" Target="../media/image2.png"/><Relationship Id="rId11" Type="http://schemas.openxmlformats.org/officeDocument/2006/relationships/chart" Target="../charts/chart8.xml"/><Relationship Id="rId5" Type="http://schemas.openxmlformats.org/officeDocument/2006/relationships/chart" Target="../charts/chart4.xml"/><Relationship Id="rId10" Type="http://schemas.openxmlformats.org/officeDocument/2006/relationships/chart" Target="../charts/chart7.xml"/><Relationship Id="rId4" Type="http://schemas.openxmlformats.org/officeDocument/2006/relationships/chart" Target="../charts/chart3.xml"/><Relationship Id="rId9" Type="http://schemas.openxmlformats.org/officeDocument/2006/relationships/chart" Target="../charts/chart6.xml"/></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0</xdr:row>
      <xdr:rowOff>38101</xdr:rowOff>
    </xdr:from>
    <xdr:to>
      <xdr:col>11</xdr:col>
      <xdr:colOff>228601</xdr:colOff>
      <xdr:row>0</xdr:row>
      <xdr:rowOff>1552576</xdr:rowOff>
    </xdr:to>
    <xdr:pic>
      <xdr:nvPicPr>
        <xdr:cNvPr id="6" name="Imagem 5">
          <a:extLst>
            <a:ext uri="{FF2B5EF4-FFF2-40B4-BE49-F238E27FC236}">
              <a16:creationId xmlns:a16="http://schemas.microsoft.com/office/drawing/2014/main" id="{B09D6B3D-032D-50E6-B041-206442EFAD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6" y="38101"/>
          <a:ext cx="7429500" cy="1514475"/>
        </a:xfrm>
        <a:prstGeom prst="rect">
          <a:avLst/>
        </a:prstGeom>
      </xdr:spPr>
    </xdr:pic>
    <xdr:clientData/>
  </xdr:twoCellAnchor>
  <xdr:twoCellAnchor editAs="oneCell">
    <xdr:from>
      <xdr:col>2</xdr:col>
      <xdr:colOff>0</xdr:colOff>
      <xdr:row>72</xdr:row>
      <xdr:rowOff>0</xdr:rowOff>
    </xdr:from>
    <xdr:to>
      <xdr:col>11</xdr:col>
      <xdr:colOff>564975</xdr:colOff>
      <xdr:row>86</xdr:row>
      <xdr:rowOff>132900</xdr:rowOff>
    </xdr:to>
    <xdr:graphicFrame macro="">
      <xdr:nvGraphicFramePr>
        <xdr:cNvPr id="7" name="Gráfico 6">
          <a:extLst>
            <a:ext uri="{FF2B5EF4-FFF2-40B4-BE49-F238E27FC236}">
              <a16:creationId xmlns:a16="http://schemas.microsoft.com/office/drawing/2014/main" id="{5EC23D0D-8467-4FBD-A964-3AF9AE84C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88</xdr:row>
      <xdr:rowOff>0</xdr:rowOff>
    </xdr:from>
    <xdr:to>
      <xdr:col>11</xdr:col>
      <xdr:colOff>564975</xdr:colOff>
      <xdr:row>102</xdr:row>
      <xdr:rowOff>132900</xdr:rowOff>
    </xdr:to>
    <xdr:graphicFrame macro="">
      <xdr:nvGraphicFramePr>
        <xdr:cNvPr id="8" name="Gráfico 7">
          <a:extLst>
            <a:ext uri="{FF2B5EF4-FFF2-40B4-BE49-F238E27FC236}">
              <a16:creationId xmlns:a16="http://schemas.microsoft.com/office/drawing/2014/main" id="{C8FA57C0-7196-411F-811B-E7D8BC66E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0</xdr:colOff>
      <xdr:row>106</xdr:row>
      <xdr:rowOff>0</xdr:rowOff>
    </xdr:from>
    <xdr:to>
      <xdr:col>11</xdr:col>
      <xdr:colOff>564975</xdr:colOff>
      <xdr:row>120</xdr:row>
      <xdr:rowOff>132900</xdr:rowOff>
    </xdr:to>
    <xdr:graphicFrame macro="">
      <xdr:nvGraphicFramePr>
        <xdr:cNvPr id="9" name="Gráfico 8">
          <a:extLst>
            <a:ext uri="{FF2B5EF4-FFF2-40B4-BE49-F238E27FC236}">
              <a16:creationId xmlns:a16="http://schemas.microsoft.com/office/drawing/2014/main" id="{2B720C3C-457C-45C9-BDF8-455377120F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124</xdr:row>
      <xdr:rowOff>0</xdr:rowOff>
    </xdr:from>
    <xdr:to>
      <xdr:col>11</xdr:col>
      <xdr:colOff>564975</xdr:colOff>
      <xdr:row>138</xdr:row>
      <xdr:rowOff>132900</xdr:rowOff>
    </xdr:to>
    <xdr:graphicFrame macro="">
      <xdr:nvGraphicFramePr>
        <xdr:cNvPr id="11" name="Gráfico 10">
          <a:extLst>
            <a:ext uri="{FF2B5EF4-FFF2-40B4-BE49-F238E27FC236}">
              <a16:creationId xmlns:a16="http://schemas.microsoft.com/office/drawing/2014/main" id="{3A04113D-0F3B-41D3-8D8B-0C2C99993A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410</xdr:row>
      <xdr:rowOff>0</xdr:rowOff>
    </xdr:from>
    <xdr:to>
      <xdr:col>6</xdr:col>
      <xdr:colOff>567991</xdr:colOff>
      <xdr:row>420</xdr:row>
      <xdr:rowOff>43499</xdr:rowOff>
    </xdr:to>
    <xdr:pic>
      <xdr:nvPicPr>
        <xdr:cNvPr id="13" name="Imagem 12" descr=" d = \alpha + [( 1 - \alpha) \cdot (c/100)] \\ \vspace{0.5cm} \\ \alpha =  \dfrac{1}{2} \cdot \left ( \dfrac{t}{T} + \dfrac{t^2}{T^2} \right )  \\ \vspace{1cm} \\ \begin{tabular}{llcl} \\ Sendo: &amp; &amp; \\ &amp; d &amp; = &amp; valor bruto da depreciação Ross-Heidecke \\ &amp; c &amp; = &amp; valor relativo de Heidecke \\ &amp; \alpha &amp; = &amp; valor relativo da depreciação Ross \\ &amp; t &amp; = &amp; idade real ou aparente da edificação \\ &amp; T &amp; = &amp; vida útil referencial \\ \end{tabular} ">
          <a:extLst>
            <a:ext uri="{FF2B5EF4-FFF2-40B4-BE49-F238E27FC236}">
              <a16:creationId xmlns:a16="http://schemas.microsoft.com/office/drawing/2014/main" id="{3B63FF5B-3FA9-464E-919C-0CEBA30960C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04830" y="95088075"/>
          <a:ext cx="3854116" cy="2519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423</xdr:row>
      <xdr:rowOff>0</xdr:rowOff>
    </xdr:from>
    <xdr:to>
      <xdr:col>2</xdr:col>
      <xdr:colOff>63537</xdr:colOff>
      <xdr:row>424</xdr:row>
      <xdr:rowOff>63588</xdr:rowOff>
    </xdr:to>
    <xdr:pic>
      <xdr:nvPicPr>
        <xdr:cNvPr id="14" name="Imagem 13" descr="  k_d = -d \\ f_d = 1 + k_d ">
          <a:extLst>
            <a:ext uri="{FF2B5EF4-FFF2-40B4-BE49-F238E27FC236}">
              <a16:creationId xmlns:a16="http://schemas.microsoft.com/office/drawing/2014/main" id="{50A8F626-6116-40B2-9E60-23DBB869F9E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04825" y="98307525"/>
          <a:ext cx="720762" cy="311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457</xdr:row>
      <xdr:rowOff>0</xdr:rowOff>
    </xdr:from>
    <xdr:to>
      <xdr:col>9</xdr:col>
      <xdr:colOff>87320</xdr:colOff>
      <xdr:row>467</xdr:row>
      <xdr:rowOff>208846</xdr:rowOff>
    </xdr:to>
    <xdr:graphicFrame macro="">
      <xdr:nvGraphicFramePr>
        <xdr:cNvPr id="15" name="Gráfico 14">
          <a:extLst>
            <a:ext uri="{FF2B5EF4-FFF2-40B4-BE49-F238E27FC236}">
              <a16:creationId xmlns:a16="http://schemas.microsoft.com/office/drawing/2014/main" id="{BEEFC317-4DAB-4EEA-B45A-56F4C850418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xdr:col>
      <xdr:colOff>0</xdr:colOff>
      <xdr:row>246</xdr:row>
      <xdr:rowOff>247649</xdr:rowOff>
    </xdr:from>
    <xdr:to>
      <xdr:col>11</xdr:col>
      <xdr:colOff>564975</xdr:colOff>
      <xdr:row>261</xdr:row>
      <xdr:rowOff>132899</xdr:rowOff>
    </xdr:to>
    <xdr:graphicFrame macro="">
      <xdr:nvGraphicFramePr>
        <xdr:cNvPr id="5" name="Gráfico 4">
          <a:extLst>
            <a:ext uri="{FF2B5EF4-FFF2-40B4-BE49-F238E27FC236}">
              <a16:creationId xmlns:a16="http://schemas.microsoft.com/office/drawing/2014/main" id="{6F8D843B-C616-4DBB-B82E-F336C4380A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2</xdr:col>
      <xdr:colOff>0</xdr:colOff>
      <xdr:row>284</xdr:row>
      <xdr:rowOff>0</xdr:rowOff>
    </xdr:from>
    <xdr:to>
      <xdr:col>11</xdr:col>
      <xdr:colOff>564975</xdr:colOff>
      <xdr:row>298</xdr:row>
      <xdr:rowOff>132900</xdr:rowOff>
    </xdr:to>
    <xdr:graphicFrame macro="">
      <xdr:nvGraphicFramePr>
        <xdr:cNvPr id="10" name="Gráfico 9">
          <a:extLst>
            <a:ext uri="{FF2B5EF4-FFF2-40B4-BE49-F238E27FC236}">
              <a16:creationId xmlns:a16="http://schemas.microsoft.com/office/drawing/2014/main" id="{5DD56E9A-F126-4CF1-B331-6D8E125FD2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2</xdr:col>
      <xdr:colOff>0</xdr:colOff>
      <xdr:row>322</xdr:row>
      <xdr:rowOff>247629</xdr:rowOff>
    </xdr:from>
    <xdr:to>
      <xdr:col>11</xdr:col>
      <xdr:colOff>564975</xdr:colOff>
      <xdr:row>337</xdr:row>
      <xdr:rowOff>132879</xdr:rowOff>
    </xdr:to>
    <xdr:graphicFrame macro="">
      <xdr:nvGraphicFramePr>
        <xdr:cNvPr id="12" name="Gráfico 11">
          <a:extLst>
            <a:ext uri="{FF2B5EF4-FFF2-40B4-BE49-F238E27FC236}">
              <a16:creationId xmlns:a16="http://schemas.microsoft.com/office/drawing/2014/main" id="{65CDE212-AE99-46DE-84A9-5A07E16BE5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2</xdr:col>
      <xdr:colOff>0</xdr:colOff>
      <xdr:row>178</xdr:row>
      <xdr:rowOff>0</xdr:rowOff>
    </xdr:from>
    <xdr:to>
      <xdr:col>11</xdr:col>
      <xdr:colOff>564975</xdr:colOff>
      <xdr:row>192</xdr:row>
      <xdr:rowOff>132900</xdr:rowOff>
    </xdr:to>
    <xdr:graphicFrame macro="">
      <xdr:nvGraphicFramePr>
        <xdr:cNvPr id="3" name="Gráfico 2">
          <a:extLst>
            <a:ext uri="{FF2B5EF4-FFF2-40B4-BE49-F238E27FC236}">
              <a16:creationId xmlns:a16="http://schemas.microsoft.com/office/drawing/2014/main" id="{E4C1BFBA-59F0-480E-BF7E-752CEDD64B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0</xdr:colOff>
      <xdr:row>213</xdr:row>
      <xdr:rowOff>0</xdr:rowOff>
    </xdr:from>
    <xdr:to>
      <xdr:col>11</xdr:col>
      <xdr:colOff>564975</xdr:colOff>
      <xdr:row>227</xdr:row>
      <xdr:rowOff>132900</xdr:rowOff>
    </xdr:to>
    <xdr:graphicFrame macro="">
      <xdr:nvGraphicFramePr>
        <xdr:cNvPr id="16" name="Gráfico 15">
          <a:extLst>
            <a:ext uri="{FF2B5EF4-FFF2-40B4-BE49-F238E27FC236}">
              <a16:creationId xmlns:a16="http://schemas.microsoft.com/office/drawing/2014/main" id="{417A956E-5BC2-46B8-BA44-3D6F680B84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175</xdr:row>
      <xdr:rowOff>0</xdr:rowOff>
    </xdr:from>
    <xdr:to>
      <xdr:col>6</xdr:col>
      <xdr:colOff>409018</xdr:colOff>
      <xdr:row>186</xdr:row>
      <xdr:rowOff>190136</xdr:rowOff>
    </xdr:to>
    <xdr:pic>
      <xdr:nvPicPr>
        <xdr:cNvPr id="2" name="Imagem 1" descr=" d = \alpha + [( 1 - \alpha) \cdot (c/100)] \\ \vspace{0.5cm} \\ \alpha =  \dfrac{1}{2} \cdot \left ( \dfrac{t}{T} + \dfrac{t^2}{T^2} \right )  \\ \vspace{1cm} \\ \begin{tabular}{llcl} \\ Sendo: &amp; &amp; \\ &amp; d &amp; = &amp; valor bruto da depreciação Ross-Heidecke \\ &amp; c &amp; = &amp; valor relativo de Heidecke \\ &amp; \alpha &amp; = &amp; valor relativo da depreciação Ross \\ &amp; t &amp; = &amp; idade real ou aparente da edificação \\ &amp; T &amp; = &amp; vida útil referencial \\ \end{tabular} ">
          <a:extLst>
            <a:ext uri="{FF2B5EF4-FFF2-40B4-BE49-F238E27FC236}">
              <a16:creationId xmlns:a16="http://schemas.microsoft.com/office/drawing/2014/main" id="{8AFFF2C6-B96B-408E-B432-021CDB32A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09625" y="43338750"/>
          <a:ext cx="4457143" cy="291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xdr:colOff>
      <xdr:row>248</xdr:row>
      <xdr:rowOff>4</xdr:rowOff>
    </xdr:from>
    <xdr:to>
      <xdr:col>8</xdr:col>
      <xdr:colOff>227867</xdr:colOff>
      <xdr:row>254</xdr:row>
      <xdr:rowOff>9342</xdr:rowOff>
    </xdr:to>
    <xdr:pic>
      <xdr:nvPicPr>
        <xdr:cNvPr id="3" name="Imagem 2" descr="     k_d = \dfrac{-d}{100} \\  \vspace{0.5cm} \\  \begin{tabular}{llll} \\  Na equação acima: &amp;  &amp; &amp; \\  &amp; d  &amp; = &amp; valor bruto resultado da equação inicial; \\  &amp; k_d  &amp; = &amp; coeficiente de depreciação (percentual negativo);  \end{tabular}  ">
          <a:extLst>
            <a:ext uri="{FF2B5EF4-FFF2-40B4-BE49-F238E27FC236}">
              <a16:creationId xmlns:a16="http://schemas.microsoft.com/office/drawing/2014/main" id="{1ECD457D-B8D7-420B-AD7A-8A4D34309C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09629" y="61417204"/>
          <a:ext cx="5895238" cy="1495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xdr:colOff>
      <xdr:row>314</xdr:row>
      <xdr:rowOff>3</xdr:rowOff>
    </xdr:from>
    <xdr:to>
      <xdr:col>6</xdr:col>
      <xdr:colOff>580553</xdr:colOff>
      <xdr:row>318</xdr:row>
      <xdr:rowOff>180832</xdr:rowOff>
    </xdr:to>
    <xdr:pic>
      <xdr:nvPicPr>
        <xdr:cNvPr id="4" name="Imagem 3" descr="  f_d = 1 + k_d \\  \vspace{0.5cm} \\  \begin{tabular}{llll} \\  Na equação acima: &amp; &amp; &amp;  \\  &amp; f_d &amp; = &amp; fator de depreciação. \\  \end{tabular}  ">
          <a:extLst>
            <a:ext uri="{FF2B5EF4-FFF2-40B4-BE49-F238E27FC236}">
              <a16:creationId xmlns:a16="http://schemas.microsoft.com/office/drawing/2014/main" id="{A6DD36C2-3696-40EF-B445-7501E088F5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1619255" y="77762103"/>
          <a:ext cx="3819048" cy="1171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E2F8-CBDA-4065-B2E0-488D4A9CC820}">
  <sheetPr>
    <pageSetUpPr fitToPage="1"/>
  </sheetPr>
  <dimension ref="A1:BN508"/>
  <sheetViews>
    <sheetView tabSelected="1" zoomScaleNormal="100" workbookViewId="0"/>
  </sheetViews>
  <sheetFormatPr defaultColWidth="4.75" defaultRowHeight="20.100000000000001" customHeight="1" x14ac:dyDescent="0.25"/>
  <cols>
    <col min="1" max="18" width="8.625" style="3" customWidth="1"/>
    <col min="19" max="21" width="25.625" style="101" customWidth="1"/>
    <col min="22" max="22" width="25.625" style="102" customWidth="1"/>
    <col min="23" max="35" width="20.625" style="4" customWidth="1"/>
    <col min="36" max="58" width="4.75" style="4" customWidth="1"/>
    <col min="59" max="128" width="4.75" style="3" customWidth="1"/>
    <col min="129" max="16384" width="4.75" style="3"/>
  </cols>
  <sheetData>
    <row r="1" spans="1:18" ht="140.1" customHeight="1" x14ac:dyDescent="0.25">
      <c r="A1" s="2"/>
      <c r="B1" s="2"/>
      <c r="C1" s="2"/>
      <c r="D1" s="2"/>
      <c r="E1" s="2"/>
      <c r="F1" s="2"/>
      <c r="G1" s="2"/>
      <c r="H1" s="2"/>
      <c r="I1" s="2"/>
      <c r="J1" s="2"/>
      <c r="K1" s="2"/>
      <c r="L1" s="2"/>
      <c r="M1" s="2"/>
      <c r="N1" s="2"/>
      <c r="O1" s="2"/>
      <c r="P1" s="2"/>
      <c r="Q1" s="2"/>
      <c r="R1" s="2"/>
    </row>
    <row r="2" spans="1:18" ht="5.0999999999999996" customHeight="1" x14ac:dyDescent="0.25"/>
    <row r="3" spans="1:18" ht="5.0999999999999996" customHeight="1" x14ac:dyDescent="0.25">
      <c r="A3" s="2"/>
      <c r="B3" s="2"/>
      <c r="C3" s="2"/>
      <c r="D3" s="2"/>
      <c r="E3" s="2"/>
      <c r="F3" s="2"/>
      <c r="G3" s="2"/>
      <c r="H3" s="2"/>
      <c r="I3" s="2"/>
      <c r="J3" s="2"/>
      <c r="K3" s="2"/>
      <c r="L3" s="2"/>
      <c r="M3" s="2"/>
      <c r="N3" s="2"/>
      <c r="O3" s="2"/>
      <c r="P3" s="2"/>
      <c r="Q3" s="2"/>
      <c r="R3" s="2"/>
    </row>
    <row r="5" spans="1:18" ht="20.100000000000001" customHeight="1" x14ac:dyDescent="0.25">
      <c r="A5" s="190" t="s">
        <v>278</v>
      </c>
      <c r="B5" s="190"/>
      <c r="C5" s="190"/>
      <c r="D5" s="190"/>
      <c r="E5" s="190"/>
      <c r="F5" s="190"/>
      <c r="G5" s="190"/>
      <c r="H5" s="190"/>
      <c r="I5" s="190"/>
      <c r="J5" s="190"/>
      <c r="K5" s="190"/>
      <c r="L5" s="190"/>
      <c r="M5" s="190"/>
      <c r="N5" s="190"/>
      <c r="O5" s="190"/>
      <c r="P5" s="190"/>
      <c r="Q5" s="190"/>
      <c r="R5" s="190"/>
    </row>
    <row r="7" spans="1:18" ht="20.100000000000001" customHeight="1" x14ac:dyDescent="0.25">
      <c r="A7" s="190" t="s">
        <v>265</v>
      </c>
      <c r="B7" s="190"/>
      <c r="C7" s="190"/>
      <c r="D7" s="190"/>
      <c r="E7" s="190"/>
      <c r="F7" s="190"/>
      <c r="G7" s="190"/>
      <c r="H7" s="190"/>
      <c r="I7" s="190"/>
      <c r="J7" s="190"/>
      <c r="K7" s="190"/>
      <c r="L7" s="190"/>
      <c r="M7" s="190"/>
      <c r="N7" s="190"/>
      <c r="O7" s="190"/>
      <c r="P7" s="190"/>
      <c r="Q7" s="190"/>
      <c r="R7" s="190"/>
    </row>
    <row r="9" spans="1:18" ht="20.100000000000001" customHeight="1" x14ac:dyDescent="0.25">
      <c r="A9" s="157" t="s">
        <v>284</v>
      </c>
      <c r="B9" s="157"/>
      <c r="C9" s="157"/>
      <c r="D9" s="157"/>
      <c r="E9" s="157"/>
      <c r="F9" s="157"/>
      <c r="G9" s="157"/>
      <c r="H9" s="157"/>
      <c r="I9" s="157"/>
      <c r="J9" s="157"/>
      <c r="K9" s="157"/>
      <c r="L9" s="157"/>
      <c r="M9" s="157"/>
      <c r="N9" s="157"/>
      <c r="O9" s="157"/>
      <c r="P9" s="157"/>
      <c r="Q9" s="157"/>
      <c r="R9" s="157"/>
    </row>
    <row r="10" spans="1:18" ht="20.100000000000001" customHeight="1" x14ac:dyDescent="0.25">
      <c r="A10" s="175" t="s">
        <v>17</v>
      </c>
      <c r="B10" s="175"/>
      <c r="C10" s="175" t="s">
        <v>87</v>
      </c>
      <c r="D10" s="175"/>
      <c r="E10" s="175"/>
      <c r="F10" s="175"/>
      <c r="G10" s="175"/>
      <c r="H10" s="175"/>
      <c r="I10" s="175"/>
      <c r="J10" s="175" t="s">
        <v>88</v>
      </c>
      <c r="K10" s="175"/>
      <c r="L10" s="175"/>
      <c r="M10" s="175"/>
      <c r="N10" s="175"/>
      <c r="O10" s="175"/>
      <c r="P10" s="175"/>
      <c r="Q10" s="175"/>
      <c r="R10" s="175"/>
    </row>
    <row r="11" spans="1:18" ht="20.100000000000001" customHeight="1" x14ac:dyDescent="0.25">
      <c r="A11" s="176">
        <v>2</v>
      </c>
      <c r="B11" s="176"/>
      <c r="C11" s="176" t="s">
        <v>283</v>
      </c>
      <c r="D11" s="176"/>
      <c r="E11" s="176"/>
      <c r="F11" s="176"/>
      <c r="G11" s="176"/>
      <c r="H11" s="176"/>
      <c r="I11" s="176"/>
      <c r="J11" s="177" t="s">
        <v>91</v>
      </c>
      <c r="K11" s="177"/>
      <c r="L11" s="177"/>
      <c r="M11" s="176" t="s">
        <v>92</v>
      </c>
      <c r="N11" s="176"/>
      <c r="O11" s="176"/>
      <c r="P11" s="176" t="s">
        <v>82</v>
      </c>
      <c r="Q11" s="176"/>
      <c r="R11" s="176"/>
    </row>
    <row r="12" spans="1:18" ht="20.100000000000001" customHeight="1" x14ac:dyDescent="0.25">
      <c r="A12" s="176"/>
      <c r="B12" s="176"/>
      <c r="C12" s="176"/>
      <c r="D12" s="176"/>
      <c r="E12" s="176"/>
      <c r="F12" s="176"/>
      <c r="G12" s="176"/>
      <c r="H12" s="176"/>
      <c r="I12" s="176"/>
      <c r="J12" s="177">
        <v>12</v>
      </c>
      <c r="K12" s="177"/>
      <c r="L12" s="177"/>
      <c r="M12" s="176">
        <v>5</v>
      </c>
      <c r="N12" s="176"/>
      <c r="O12" s="176"/>
      <c r="P12" s="176">
        <v>3</v>
      </c>
      <c r="Q12" s="176"/>
      <c r="R12" s="176"/>
    </row>
    <row r="15" spans="1:18" ht="20.100000000000001" customHeight="1" x14ac:dyDescent="0.25">
      <c r="A15" s="117" t="s">
        <v>20</v>
      </c>
      <c r="B15" s="117"/>
      <c r="C15" s="117"/>
      <c r="D15" s="117"/>
      <c r="E15" s="117"/>
      <c r="F15" s="117"/>
      <c r="G15" s="117"/>
      <c r="H15" s="117"/>
      <c r="I15" s="117"/>
      <c r="J15" s="117"/>
      <c r="K15" s="117"/>
      <c r="L15" s="117"/>
      <c r="M15" s="117"/>
      <c r="N15" s="117"/>
      <c r="O15" s="117"/>
      <c r="P15" s="117"/>
      <c r="Q15" s="117"/>
      <c r="R15" s="117"/>
    </row>
    <row r="17" spans="1:21" ht="39.950000000000003" customHeight="1" thickBot="1" x14ac:dyDescent="0.3">
      <c r="A17" s="5" t="s">
        <v>17</v>
      </c>
      <c r="B17" s="125" t="s">
        <v>469</v>
      </c>
      <c r="C17" s="125"/>
      <c r="D17" s="125"/>
      <c r="E17" s="125" t="s">
        <v>18</v>
      </c>
      <c r="F17" s="125"/>
      <c r="G17" s="125"/>
      <c r="H17" s="125" t="s">
        <v>19</v>
      </c>
      <c r="I17" s="125"/>
      <c r="J17" s="125"/>
      <c r="K17" s="125" t="s">
        <v>263</v>
      </c>
      <c r="L17" s="125"/>
      <c r="M17" s="125"/>
      <c r="N17" s="125" t="s">
        <v>21</v>
      </c>
      <c r="O17" s="125"/>
      <c r="P17" s="125" t="s">
        <v>22</v>
      </c>
      <c r="Q17" s="125"/>
      <c r="R17" s="125"/>
      <c r="T17" s="193" t="s">
        <v>14</v>
      </c>
      <c r="U17" s="193"/>
    </row>
    <row r="18" spans="1:21" ht="20.100000000000001" customHeight="1" x14ac:dyDescent="0.25">
      <c r="A18" s="79">
        <v>1</v>
      </c>
      <c r="B18" s="187">
        <v>200000</v>
      </c>
      <c r="C18" s="187"/>
      <c r="D18" s="187"/>
      <c r="E18" s="115">
        <v>360</v>
      </c>
      <c r="F18" s="115"/>
      <c r="G18" s="115"/>
      <c r="H18" s="187">
        <f>B18/E18</f>
        <v>555.55555555555554</v>
      </c>
      <c r="I18" s="187"/>
      <c r="J18" s="187"/>
      <c r="K18" s="126" t="s">
        <v>492</v>
      </c>
      <c r="L18" s="126"/>
      <c r="M18" s="126"/>
      <c r="N18" s="194">
        <f>VLOOKUP(K18,$T$19:$U$20,2,0)</f>
        <v>0.9</v>
      </c>
      <c r="O18" s="194"/>
      <c r="P18" s="111">
        <f>H18*N18</f>
        <v>500</v>
      </c>
      <c r="Q18" s="111"/>
      <c r="R18" s="111"/>
      <c r="T18" s="100" t="s">
        <v>493</v>
      </c>
      <c r="U18" s="20" t="s">
        <v>15</v>
      </c>
    </row>
    <row r="19" spans="1:21" ht="20.100000000000001" customHeight="1" x14ac:dyDescent="0.25">
      <c r="A19" s="79">
        <v>2</v>
      </c>
      <c r="B19" s="119">
        <v>180000</v>
      </c>
      <c r="C19" s="119"/>
      <c r="D19" s="119"/>
      <c r="E19" s="112">
        <v>320</v>
      </c>
      <c r="F19" s="112"/>
      <c r="G19" s="112"/>
      <c r="H19" s="119">
        <f>B19/E19</f>
        <v>562.5</v>
      </c>
      <c r="I19" s="119"/>
      <c r="J19" s="119"/>
      <c r="K19" s="126" t="s">
        <v>492</v>
      </c>
      <c r="L19" s="126"/>
      <c r="M19" s="126"/>
      <c r="N19" s="127">
        <f>VLOOKUP(K19,$T$19:$U$20,2,0)</f>
        <v>0.9</v>
      </c>
      <c r="O19" s="127"/>
      <c r="P19" s="119">
        <f>H19*N19</f>
        <v>506.25</v>
      </c>
      <c r="Q19" s="119"/>
      <c r="R19" s="119"/>
      <c r="T19" s="103" t="s">
        <v>492</v>
      </c>
      <c r="U19" s="104">
        <v>0.9</v>
      </c>
    </row>
    <row r="20" spans="1:21" ht="20.100000000000001" customHeight="1" x14ac:dyDescent="0.25">
      <c r="A20" s="79">
        <v>3</v>
      </c>
      <c r="B20" s="119">
        <v>185000</v>
      </c>
      <c r="C20" s="119"/>
      <c r="D20" s="119"/>
      <c r="E20" s="112">
        <v>300</v>
      </c>
      <c r="F20" s="112"/>
      <c r="G20" s="112"/>
      <c r="H20" s="119">
        <f t="shared" ref="H20:H21" si="0">B20/E20</f>
        <v>616.66666666666663</v>
      </c>
      <c r="I20" s="119"/>
      <c r="J20" s="119"/>
      <c r="K20" s="126" t="s">
        <v>492</v>
      </c>
      <c r="L20" s="126"/>
      <c r="M20" s="126"/>
      <c r="N20" s="127">
        <f>VLOOKUP(K20,$T$19:$U$20,2,0)</f>
        <v>0.9</v>
      </c>
      <c r="O20" s="127"/>
      <c r="P20" s="119">
        <f t="shared" ref="P20:P21" si="1">H20*N20</f>
        <v>555</v>
      </c>
      <c r="Q20" s="119"/>
      <c r="R20" s="119"/>
      <c r="T20" s="103" t="s">
        <v>16</v>
      </c>
      <c r="U20" s="104">
        <v>1</v>
      </c>
    </row>
    <row r="21" spans="1:21" ht="20.100000000000001" customHeight="1" x14ac:dyDescent="0.25">
      <c r="A21" s="79">
        <v>4</v>
      </c>
      <c r="B21" s="119">
        <v>190000</v>
      </c>
      <c r="C21" s="119"/>
      <c r="D21" s="119"/>
      <c r="E21" s="112">
        <v>300</v>
      </c>
      <c r="F21" s="112"/>
      <c r="G21" s="112"/>
      <c r="H21" s="119">
        <f t="shared" si="0"/>
        <v>633.33333333333337</v>
      </c>
      <c r="I21" s="119"/>
      <c r="J21" s="119"/>
      <c r="K21" s="126" t="s">
        <v>492</v>
      </c>
      <c r="L21" s="126"/>
      <c r="M21" s="126"/>
      <c r="N21" s="127">
        <f>VLOOKUP(K21,$T$19:$U$20,2,0)</f>
        <v>0.9</v>
      </c>
      <c r="O21" s="127"/>
      <c r="P21" s="119">
        <f t="shared" si="1"/>
        <v>570</v>
      </c>
      <c r="Q21" s="119"/>
      <c r="R21" s="119"/>
    </row>
    <row r="22" spans="1:21" ht="20.100000000000001" customHeight="1" x14ac:dyDescent="0.25">
      <c r="A22" s="79">
        <v>5</v>
      </c>
      <c r="B22" s="119">
        <v>185000</v>
      </c>
      <c r="C22" s="119"/>
      <c r="D22" s="119"/>
      <c r="E22" s="112">
        <v>300</v>
      </c>
      <c r="F22" s="112"/>
      <c r="G22" s="112"/>
      <c r="H22" s="119">
        <f t="shared" ref="H22:H24" si="2">B22/E22</f>
        <v>616.66666666666663</v>
      </c>
      <c r="I22" s="119"/>
      <c r="J22" s="119"/>
      <c r="K22" s="126" t="s">
        <v>492</v>
      </c>
      <c r="L22" s="126"/>
      <c r="M22" s="126"/>
      <c r="N22" s="127">
        <f t="shared" ref="N22:N28" si="3">VLOOKUP(K22,$T$19:$U$20,2,0)</f>
        <v>0.9</v>
      </c>
      <c r="O22" s="127"/>
      <c r="P22" s="119">
        <f t="shared" ref="P22:P28" si="4">H22*N22</f>
        <v>555</v>
      </c>
      <c r="Q22" s="119"/>
      <c r="R22" s="119"/>
    </row>
    <row r="23" spans="1:21" ht="20.100000000000001" customHeight="1" x14ac:dyDescent="0.25">
      <c r="A23" s="79">
        <v>6</v>
      </c>
      <c r="B23" s="119">
        <v>150000</v>
      </c>
      <c r="C23" s="119"/>
      <c r="D23" s="119"/>
      <c r="E23" s="112">
        <v>250</v>
      </c>
      <c r="F23" s="112"/>
      <c r="G23" s="112"/>
      <c r="H23" s="119">
        <f t="shared" si="2"/>
        <v>600</v>
      </c>
      <c r="I23" s="119"/>
      <c r="J23" s="119"/>
      <c r="K23" s="126" t="s">
        <v>492</v>
      </c>
      <c r="L23" s="126"/>
      <c r="M23" s="126"/>
      <c r="N23" s="127">
        <f t="shared" si="3"/>
        <v>0.9</v>
      </c>
      <c r="O23" s="127"/>
      <c r="P23" s="119">
        <f t="shared" si="4"/>
        <v>540</v>
      </c>
      <c r="Q23" s="119"/>
      <c r="R23" s="119"/>
    </row>
    <row r="24" spans="1:21" ht="20.100000000000001" customHeight="1" x14ac:dyDescent="0.25">
      <c r="A24" s="79">
        <v>7</v>
      </c>
      <c r="B24" s="119">
        <v>125000</v>
      </c>
      <c r="C24" s="119"/>
      <c r="D24" s="119"/>
      <c r="E24" s="112">
        <v>250</v>
      </c>
      <c r="F24" s="112"/>
      <c r="G24" s="112"/>
      <c r="H24" s="119">
        <f t="shared" si="2"/>
        <v>500</v>
      </c>
      <c r="I24" s="119"/>
      <c r="J24" s="119"/>
      <c r="K24" s="126" t="s">
        <v>492</v>
      </c>
      <c r="L24" s="126"/>
      <c r="M24" s="126"/>
      <c r="N24" s="127">
        <f t="shared" si="3"/>
        <v>0.9</v>
      </c>
      <c r="O24" s="127"/>
      <c r="P24" s="119">
        <f t="shared" si="4"/>
        <v>450</v>
      </c>
      <c r="Q24" s="119"/>
      <c r="R24" s="119"/>
    </row>
    <row r="25" spans="1:21" ht="20.100000000000001" customHeight="1" x14ac:dyDescent="0.25">
      <c r="A25" s="79">
        <v>8</v>
      </c>
      <c r="B25" s="119">
        <v>186000</v>
      </c>
      <c r="C25" s="119"/>
      <c r="D25" s="119"/>
      <c r="E25" s="112">
        <v>300</v>
      </c>
      <c r="F25" s="112"/>
      <c r="G25" s="112"/>
      <c r="H25" s="119">
        <f t="shared" ref="H25:H28" si="5">B25/E25</f>
        <v>620</v>
      </c>
      <c r="I25" s="119"/>
      <c r="J25" s="119"/>
      <c r="K25" s="126" t="s">
        <v>492</v>
      </c>
      <c r="L25" s="126"/>
      <c r="M25" s="126"/>
      <c r="N25" s="127">
        <f t="shared" si="3"/>
        <v>0.9</v>
      </c>
      <c r="O25" s="127"/>
      <c r="P25" s="119">
        <f t="shared" si="4"/>
        <v>558</v>
      </c>
      <c r="Q25" s="119"/>
      <c r="R25" s="119"/>
    </row>
    <row r="26" spans="1:21" ht="20.100000000000001" customHeight="1" x14ac:dyDescent="0.25">
      <c r="A26" s="79">
        <v>9</v>
      </c>
      <c r="B26" s="119">
        <v>154000</v>
      </c>
      <c r="C26" s="119"/>
      <c r="D26" s="119"/>
      <c r="E26" s="112">
        <v>250</v>
      </c>
      <c r="F26" s="112"/>
      <c r="G26" s="112"/>
      <c r="H26" s="119">
        <f t="shared" si="5"/>
        <v>616</v>
      </c>
      <c r="I26" s="119"/>
      <c r="J26" s="119"/>
      <c r="K26" s="126" t="s">
        <v>492</v>
      </c>
      <c r="L26" s="126"/>
      <c r="M26" s="126"/>
      <c r="N26" s="127">
        <f t="shared" si="3"/>
        <v>0.9</v>
      </c>
      <c r="O26" s="127"/>
      <c r="P26" s="119">
        <f t="shared" si="4"/>
        <v>554.4</v>
      </c>
      <c r="Q26" s="119"/>
      <c r="R26" s="119"/>
    </row>
    <row r="27" spans="1:21" ht="20.100000000000001" customHeight="1" x14ac:dyDescent="0.25">
      <c r="A27" s="79">
        <v>10</v>
      </c>
      <c r="B27" s="119">
        <v>189000</v>
      </c>
      <c r="C27" s="119"/>
      <c r="D27" s="119"/>
      <c r="E27" s="112">
        <v>300</v>
      </c>
      <c r="F27" s="112"/>
      <c r="G27" s="112"/>
      <c r="H27" s="119">
        <f t="shared" si="5"/>
        <v>630</v>
      </c>
      <c r="I27" s="119"/>
      <c r="J27" s="119"/>
      <c r="K27" s="126" t="s">
        <v>492</v>
      </c>
      <c r="L27" s="126"/>
      <c r="M27" s="126"/>
      <c r="N27" s="127">
        <f t="shared" si="3"/>
        <v>0.9</v>
      </c>
      <c r="O27" s="127"/>
      <c r="P27" s="119">
        <f t="shared" si="4"/>
        <v>567</v>
      </c>
      <c r="Q27" s="119"/>
      <c r="R27" s="119"/>
    </row>
    <row r="28" spans="1:21" ht="20.100000000000001" customHeight="1" x14ac:dyDescent="0.25">
      <c r="A28" s="79">
        <v>11</v>
      </c>
      <c r="B28" s="119">
        <v>125000</v>
      </c>
      <c r="C28" s="119"/>
      <c r="D28" s="119"/>
      <c r="E28" s="112">
        <v>250</v>
      </c>
      <c r="F28" s="112"/>
      <c r="G28" s="112"/>
      <c r="H28" s="119">
        <f t="shared" si="5"/>
        <v>500</v>
      </c>
      <c r="I28" s="119"/>
      <c r="J28" s="119"/>
      <c r="K28" s="126" t="s">
        <v>492</v>
      </c>
      <c r="L28" s="126"/>
      <c r="M28" s="126"/>
      <c r="N28" s="127">
        <f t="shared" si="3"/>
        <v>0.9</v>
      </c>
      <c r="O28" s="127"/>
      <c r="P28" s="119">
        <f t="shared" si="4"/>
        <v>450</v>
      </c>
      <c r="Q28" s="119"/>
      <c r="R28" s="119"/>
    </row>
    <row r="29" spans="1:21" ht="20.100000000000001" customHeight="1" thickBot="1" x14ac:dyDescent="0.3">
      <c r="A29" s="80">
        <v>12</v>
      </c>
      <c r="B29" s="131">
        <v>190000</v>
      </c>
      <c r="C29" s="131"/>
      <c r="D29" s="131"/>
      <c r="E29" s="192">
        <v>295</v>
      </c>
      <c r="F29" s="192"/>
      <c r="G29" s="192"/>
      <c r="H29" s="131">
        <f>B29/E29</f>
        <v>644.06779661016947</v>
      </c>
      <c r="I29" s="131"/>
      <c r="J29" s="131"/>
      <c r="K29" s="130" t="s">
        <v>492</v>
      </c>
      <c r="L29" s="130"/>
      <c r="M29" s="130"/>
      <c r="N29" s="124">
        <f>VLOOKUP(K29,$T$19:$U$20,2,0)</f>
        <v>0.9</v>
      </c>
      <c r="O29" s="124"/>
      <c r="P29" s="131">
        <f>H29*N29</f>
        <v>579.66101694915255</v>
      </c>
      <c r="Q29" s="131"/>
      <c r="R29" s="131"/>
    </row>
    <row r="31" spans="1:21" ht="20.100000000000001" customHeight="1" x14ac:dyDescent="0.25">
      <c r="L31" s="109" t="s">
        <v>36</v>
      </c>
      <c r="M31" s="109"/>
      <c r="N31" s="109"/>
      <c r="O31" s="109"/>
      <c r="P31" s="111">
        <f>AVERAGE(P18:R29)</f>
        <v>532.10925141242933</v>
      </c>
      <c r="Q31" s="111"/>
      <c r="R31" s="111"/>
    </row>
    <row r="32" spans="1:21" ht="20.100000000000001" customHeight="1" x14ac:dyDescent="0.25">
      <c r="L32" s="129" t="s">
        <v>37</v>
      </c>
      <c r="M32" s="129"/>
      <c r="N32" s="129"/>
      <c r="O32" s="129"/>
      <c r="P32" s="111">
        <f>STDEVA(P18:R29)</f>
        <v>45.101150767594298</v>
      </c>
      <c r="Q32" s="111"/>
      <c r="R32" s="111"/>
    </row>
    <row r="33" spans="1:18" ht="20.100000000000001" customHeight="1" x14ac:dyDescent="0.25">
      <c r="L33" s="120" t="s">
        <v>35</v>
      </c>
      <c r="M33" s="120"/>
      <c r="N33" s="120"/>
      <c r="O33" s="120"/>
      <c r="P33" s="132">
        <f>P32/P31</f>
        <v>8.4759193056459597E-2</v>
      </c>
      <c r="Q33" s="132"/>
      <c r="R33" s="132"/>
    </row>
    <row r="36" spans="1:18" ht="20.100000000000001" customHeight="1" x14ac:dyDescent="0.25">
      <c r="A36" s="117" t="s">
        <v>29</v>
      </c>
      <c r="B36" s="117"/>
      <c r="C36" s="117"/>
      <c r="D36" s="117"/>
      <c r="E36" s="117"/>
      <c r="F36" s="117"/>
      <c r="G36" s="117"/>
      <c r="H36" s="117"/>
      <c r="I36" s="117"/>
      <c r="J36" s="117"/>
      <c r="K36" s="117"/>
      <c r="L36" s="117"/>
      <c r="M36" s="117"/>
      <c r="N36" s="117"/>
      <c r="O36" s="117"/>
      <c r="P36" s="117"/>
      <c r="Q36" s="117"/>
      <c r="R36" s="117"/>
    </row>
    <row r="38" spans="1:18" ht="80.099999999999994" customHeight="1" x14ac:dyDescent="0.25">
      <c r="A38" s="133" t="s">
        <v>85</v>
      </c>
      <c r="B38" s="133"/>
      <c r="C38" s="133"/>
      <c r="D38" s="133"/>
      <c r="E38" s="133"/>
      <c r="F38" s="133"/>
      <c r="G38" s="133"/>
      <c r="H38" s="133"/>
      <c r="I38" s="133"/>
      <c r="J38" s="133"/>
      <c r="K38" s="133"/>
      <c r="L38" s="133"/>
      <c r="M38" s="133"/>
      <c r="N38" s="133"/>
      <c r="O38" s="133"/>
      <c r="P38" s="133"/>
      <c r="Q38" s="133"/>
      <c r="R38" s="133"/>
    </row>
    <row r="40" spans="1:18" ht="20.100000000000001" customHeight="1" x14ac:dyDescent="0.25">
      <c r="A40" s="121" t="s">
        <v>23</v>
      </c>
      <c r="B40" s="121"/>
      <c r="C40" s="121"/>
      <c r="D40" s="121"/>
      <c r="E40" s="121"/>
      <c r="F40" s="121"/>
      <c r="G40" s="121"/>
      <c r="H40" s="121" t="s">
        <v>86</v>
      </c>
      <c r="I40" s="121"/>
      <c r="J40" s="125" t="s">
        <v>485</v>
      </c>
      <c r="K40" s="125"/>
      <c r="L40" s="125"/>
      <c r="M40" s="125"/>
      <c r="N40" s="125"/>
      <c r="O40" s="128" t="s">
        <v>486</v>
      </c>
      <c r="P40" s="128"/>
      <c r="Q40" s="128"/>
      <c r="R40" s="128"/>
    </row>
    <row r="41" spans="1:18" ht="20.100000000000001" customHeight="1" x14ac:dyDescent="0.25">
      <c r="A41" s="169" t="s">
        <v>24</v>
      </c>
      <c r="B41" s="169"/>
      <c r="C41" s="169"/>
      <c r="D41" s="169"/>
      <c r="E41" s="169"/>
      <c r="F41" s="169"/>
      <c r="G41" s="169"/>
      <c r="H41" s="122" t="s">
        <v>487</v>
      </c>
      <c r="I41" s="122"/>
      <c r="J41" s="120" t="s">
        <v>480</v>
      </c>
      <c r="K41" s="120"/>
      <c r="L41" s="120"/>
      <c r="M41" s="120"/>
      <c r="N41" s="120"/>
      <c r="O41" s="119">
        <v>1</v>
      </c>
      <c r="P41" s="119"/>
      <c r="Q41" s="119"/>
      <c r="R41" s="119"/>
    </row>
    <row r="42" spans="1:18" ht="20.100000000000001" customHeight="1" x14ac:dyDescent="0.25">
      <c r="A42" s="169" t="s">
        <v>27</v>
      </c>
      <c r="B42" s="169"/>
      <c r="C42" s="169"/>
      <c r="D42" s="169"/>
      <c r="E42" s="169"/>
      <c r="F42" s="169"/>
      <c r="G42" s="169"/>
      <c r="H42" s="123" t="s">
        <v>488</v>
      </c>
      <c r="I42" s="123"/>
      <c r="J42" s="120" t="s">
        <v>481</v>
      </c>
      <c r="K42" s="120"/>
      <c r="L42" s="120"/>
      <c r="M42" s="120"/>
      <c r="N42" s="120"/>
      <c r="O42" s="119">
        <v>1</v>
      </c>
      <c r="P42" s="119"/>
      <c r="Q42" s="119"/>
      <c r="R42" s="119"/>
    </row>
    <row r="43" spans="1:18" ht="20.100000000000001" customHeight="1" x14ac:dyDescent="0.25">
      <c r="A43" s="169" t="s">
        <v>28</v>
      </c>
      <c r="B43" s="169"/>
      <c r="C43" s="169"/>
      <c r="D43" s="169"/>
      <c r="E43" s="169"/>
      <c r="F43" s="169"/>
      <c r="G43" s="169"/>
      <c r="H43" s="123" t="s">
        <v>489</v>
      </c>
      <c r="I43" s="123"/>
      <c r="J43" s="120" t="s">
        <v>482</v>
      </c>
      <c r="K43" s="120"/>
      <c r="L43" s="120"/>
      <c r="M43" s="120"/>
      <c r="N43" s="120"/>
      <c r="O43" s="119">
        <v>1</v>
      </c>
      <c r="P43" s="119"/>
      <c r="Q43" s="119"/>
      <c r="R43" s="119"/>
    </row>
    <row r="44" spans="1:18" ht="20.100000000000001" customHeight="1" x14ac:dyDescent="0.25">
      <c r="A44" s="169" t="s">
        <v>25</v>
      </c>
      <c r="B44" s="169"/>
      <c r="C44" s="169"/>
      <c r="D44" s="169"/>
      <c r="E44" s="169"/>
      <c r="F44" s="169"/>
      <c r="G44" s="169"/>
      <c r="H44" s="123" t="s">
        <v>490</v>
      </c>
      <c r="I44" s="123"/>
      <c r="J44" s="120" t="s">
        <v>483</v>
      </c>
      <c r="K44" s="120"/>
      <c r="L44" s="120"/>
      <c r="M44" s="120"/>
      <c r="N44" s="120"/>
      <c r="O44" s="119">
        <v>1</v>
      </c>
      <c r="P44" s="119"/>
      <c r="Q44" s="119"/>
      <c r="R44" s="119"/>
    </row>
    <row r="45" spans="1:18" ht="20.100000000000001" customHeight="1" x14ac:dyDescent="0.25">
      <c r="A45" s="169" t="s">
        <v>26</v>
      </c>
      <c r="B45" s="169"/>
      <c r="C45" s="169"/>
      <c r="D45" s="169"/>
      <c r="E45" s="169"/>
      <c r="F45" s="169"/>
      <c r="G45" s="169"/>
      <c r="H45" s="123" t="s">
        <v>491</v>
      </c>
      <c r="I45" s="123"/>
      <c r="J45" s="120" t="s">
        <v>484</v>
      </c>
      <c r="K45" s="120"/>
      <c r="L45" s="120"/>
      <c r="M45" s="120"/>
      <c r="N45" s="120"/>
      <c r="O45" s="119">
        <v>1</v>
      </c>
      <c r="P45" s="119"/>
      <c r="Q45" s="119"/>
      <c r="R45" s="119"/>
    </row>
    <row r="48" spans="1:18" ht="20.100000000000001" customHeight="1" x14ac:dyDescent="0.25">
      <c r="A48" s="128" t="s">
        <v>33</v>
      </c>
      <c r="B48" s="128"/>
      <c r="C48" s="128"/>
      <c r="D48" s="128"/>
      <c r="E48" s="128" t="s">
        <v>34</v>
      </c>
      <c r="F48" s="128"/>
      <c r="G48" s="128"/>
      <c r="H48" s="128"/>
      <c r="I48" s="128"/>
      <c r="J48" s="128" t="s">
        <v>30</v>
      </c>
      <c r="K48" s="128"/>
    </row>
    <row r="49" spans="1:18" ht="20.100000000000001" customHeight="1" x14ac:dyDescent="0.25">
      <c r="A49" s="125"/>
      <c r="B49" s="125"/>
      <c r="C49" s="125"/>
      <c r="D49" s="125"/>
      <c r="E49" s="5" t="s">
        <v>94</v>
      </c>
      <c r="F49" s="5" t="s">
        <v>95</v>
      </c>
      <c r="G49" s="5" t="s">
        <v>96</v>
      </c>
      <c r="H49" s="5" t="s">
        <v>97</v>
      </c>
      <c r="I49" s="5" t="s">
        <v>98</v>
      </c>
      <c r="J49" s="125"/>
      <c r="K49" s="125"/>
    </row>
    <row r="50" spans="1:18" ht="20.100000000000001" customHeight="1" thickBot="1" x14ac:dyDescent="0.3">
      <c r="A50" s="19"/>
      <c r="B50" s="19"/>
      <c r="C50" s="19"/>
      <c r="D50" s="19"/>
      <c r="E50" s="18">
        <v>1</v>
      </c>
      <c r="F50" s="18">
        <v>0.95</v>
      </c>
      <c r="G50" s="18">
        <v>1</v>
      </c>
      <c r="H50" s="18">
        <v>1</v>
      </c>
      <c r="I50" s="18">
        <v>1</v>
      </c>
      <c r="J50" s="131">
        <f>SUM(E50:I50)-COUNT(E50:I50)+1</f>
        <v>0.95000000000000018</v>
      </c>
      <c r="K50" s="131"/>
    </row>
    <row r="52" spans="1:18" ht="39.950000000000003" customHeight="1" x14ac:dyDescent="0.25">
      <c r="A52" s="5" t="s">
        <v>17</v>
      </c>
      <c r="B52" s="125" t="str">
        <f>P17</f>
        <v>Valor unitário ajustado</v>
      </c>
      <c r="C52" s="125"/>
      <c r="D52" s="125"/>
      <c r="E52" s="5" t="s">
        <v>94</v>
      </c>
      <c r="F52" s="5" t="s">
        <v>95</v>
      </c>
      <c r="G52" s="5" t="s">
        <v>96</v>
      </c>
      <c r="H52" s="5" t="s">
        <v>97</v>
      </c>
      <c r="I52" s="5" t="s">
        <v>98</v>
      </c>
      <c r="J52" s="125" t="s">
        <v>30</v>
      </c>
      <c r="K52" s="125"/>
      <c r="L52" s="125" t="s">
        <v>31</v>
      </c>
      <c r="M52" s="125"/>
      <c r="N52" s="125" t="s">
        <v>23</v>
      </c>
      <c r="O52" s="125"/>
      <c r="P52" s="125" t="s">
        <v>32</v>
      </c>
      <c r="Q52" s="125"/>
      <c r="R52" s="125"/>
    </row>
    <row r="53" spans="1:18" ht="20.100000000000001" customHeight="1" x14ac:dyDescent="0.25">
      <c r="A53" s="79">
        <v>1</v>
      </c>
      <c r="B53" s="119">
        <f>P18</f>
        <v>500</v>
      </c>
      <c r="C53" s="119"/>
      <c r="D53" s="119"/>
      <c r="E53" s="15">
        <v>1</v>
      </c>
      <c r="F53" s="15">
        <v>1</v>
      </c>
      <c r="G53" s="15">
        <v>1</v>
      </c>
      <c r="H53" s="15">
        <v>1</v>
      </c>
      <c r="I53" s="15">
        <v>1</v>
      </c>
      <c r="J53" s="119">
        <f>SUM(E53:I53)-COUNT(E53:I53)+1</f>
        <v>1</v>
      </c>
      <c r="K53" s="120"/>
      <c r="L53" s="119">
        <f t="shared" ref="L53:L64" si="6">$J$50</f>
        <v>0.95000000000000018</v>
      </c>
      <c r="M53" s="120"/>
      <c r="N53" s="119">
        <f t="shared" ref="N53:N64" si="7">L53/J53</f>
        <v>0.95000000000000018</v>
      </c>
      <c r="O53" s="120"/>
      <c r="P53" s="119">
        <f t="shared" ref="P53:P64" si="8">B53*N53</f>
        <v>475.00000000000011</v>
      </c>
      <c r="Q53" s="119"/>
      <c r="R53" s="119"/>
    </row>
    <row r="54" spans="1:18" ht="20.100000000000001" customHeight="1" x14ac:dyDescent="0.25">
      <c r="A54" s="79">
        <v>2</v>
      </c>
      <c r="B54" s="119">
        <f t="shared" ref="B54:B64" si="9">P19</f>
        <v>506.25</v>
      </c>
      <c r="C54" s="119"/>
      <c r="D54" s="119"/>
      <c r="E54" s="15">
        <v>1</v>
      </c>
      <c r="F54" s="15">
        <v>1</v>
      </c>
      <c r="G54" s="15">
        <v>1</v>
      </c>
      <c r="H54" s="15">
        <v>1</v>
      </c>
      <c r="I54" s="15">
        <v>1</v>
      </c>
      <c r="J54" s="119">
        <f t="shared" ref="J54:J55" si="10">SUM(E54:I54)-COUNT(E54:I54)+1</f>
        <v>1</v>
      </c>
      <c r="K54" s="120"/>
      <c r="L54" s="119">
        <f t="shared" si="6"/>
        <v>0.95000000000000018</v>
      </c>
      <c r="M54" s="120"/>
      <c r="N54" s="119">
        <f t="shared" ref="N54:N55" si="11">L54/J54</f>
        <v>0.95000000000000018</v>
      </c>
      <c r="O54" s="120"/>
      <c r="P54" s="119">
        <f t="shared" ref="P54:P55" si="12">B54*N54</f>
        <v>480.93750000000011</v>
      </c>
      <c r="Q54" s="119"/>
      <c r="R54" s="119"/>
    </row>
    <row r="55" spans="1:18" ht="20.100000000000001" customHeight="1" x14ac:dyDescent="0.25">
      <c r="A55" s="79">
        <v>3</v>
      </c>
      <c r="B55" s="119">
        <f t="shared" si="9"/>
        <v>555</v>
      </c>
      <c r="C55" s="119"/>
      <c r="D55" s="119"/>
      <c r="E55" s="15">
        <v>1</v>
      </c>
      <c r="F55" s="15">
        <v>1</v>
      </c>
      <c r="G55" s="15">
        <v>1</v>
      </c>
      <c r="H55" s="15">
        <v>1</v>
      </c>
      <c r="I55" s="15">
        <v>1</v>
      </c>
      <c r="J55" s="119">
        <f t="shared" si="10"/>
        <v>1</v>
      </c>
      <c r="K55" s="120"/>
      <c r="L55" s="119">
        <f t="shared" si="6"/>
        <v>0.95000000000000018</v>
      </c>
      <c r="M55" s="120"/>
      <c r="N55" s="119">
        <f t="shared" si="11"/>
        <v>0.95000000000000018</v>
      </c>
      <c r="O55" s="120"/>
      <c r="P55" s="119">
        <f t="shared" si="12"/>
        <v>527.25000000000011</v>
      </c>
      <c r="Q55" s="119"/>
      <c r="R55" s="119"/>
    </row>
    <row r="56" spans="1:18" ht="20.100000000000001" customHeight="1" x14ac:dyDescent="0.25">
      <c r="A56" s="79">
        <v>4</v>
      </c>
      <c r="B56" s="119">
        <f t="shared" si="9"/>
        <v>570</v>
      </c>
      <c r="C56" s="119"/>
      <c r="D56" s="119"/>
      <c r="E56" s="15">
        <v>1</v>
      </c>
      <c r="F56" s="15">
        <v>1</v>
      </c>
      <c r="G56" s="15">
        <v>1</v>
      </c>
      <c r="H56" s="15">
        <v>1</v>
      </c>
      <c r="I56" s="15">
        <v>1</v>
      </c>
      <c r="J56" s="119">
        <f t="shared" ref="J56:J64" si="13">SUM(E56:I56)-COUNT(E56:I56)+1</f>
        <v>1</v>
      </c>
      <c r="K56" s="120"/>
      <c r="L56" s="119">
        <f t="shared" si="6"/>
        <v>0.95000000000000018</v>
      </c>
      <c r="M56" s="120"/>
      <c r="N56" s="119">
        <f t="shared" si="7"/>
        <v>0.95000000000000018</v>
      </c>
      <c r="O56" s="120"/>
      <c r="P56" s="119">
        <f t="shared" si="8"/>
        <v>541.50000000000011</v>
      </c>
      <c r="Q56" s="119"/>
      <c r="R56" s="119"/>
    </row>
    <row r="57" spans="1:18" ht="20.100000000000001" customHeight="1" x14ac:dyDescent="0.25">
      <c r="A57" s="79">
        <v>5</v>
      </c>
      <c r="B57" s="119">
        <f t="shared" si="9"/>
        <v>555</v>
      </c>
      <c r="C57" s="119"/>
      <c r="D57" s="119"/>
      <c r="E57" s="15">
        <v>0.9</v>
      </c>
      <c r="F57" s="15">
        <v>1</v>
      </c>
      <c r="G57" s="15">
        <v>1</v>
      </c>
      <c r="H57" s="15">
        <v>1</v>
      </c>
      <c r="I57" s="15">
        <v>1</v>
      </c>
      <c r="J57" s="119">
        <f t="shared" ref="J57:J63" si="14">SUM(E57:I57)-COUNT(E57:I57)+1</f>
        <v>0.90000000000000036</v>
      </c>
      <c r="K57" s="120"/>
      <c r="L57" s="119">
        <f t="shared" si="6"/>
        <v>0.95000000000000018</v>
      </c>
      <c r="M57" s="120"/>
      <c r="N57" s="119">
        <f t="shared" ref="N57:N63" si="15">L57/J57</f>
        <v>1.0555555555555554</v>
      </c>
      <c r="O57" s="120"/>
      <c r="P57" s="119">
        <f t="shared" ref="P57:P63" si="16">B57*N57</f>
        <v>585.83333333333326</v>
      </c>
      <c r="Q57" s="119"/>
      <c r="R57" s="119"/>
    </row>
    <row r="58" spans="1:18" ht="20.100000000000001" customHeight="1" x14ac:dyDescent="0.25">
      <c r="A58" s="79">
        <v>6</v>
      </c>
      <c r="B58" s="119">
        <f t="shared" si="9"/>
        <v>540</v>
      </c>
      <c r="C58" s="119"/>
      <c r="D58" s="119"/>
      <c r="E58" s="15">
        <v>1</v>
      </c>
      <c r="F58" s="15">
        <v>1</v>
      </c>
      <c r="G58" s="15">
        <v>1</v>
      </c>
      <c r="H58" s="15">
        <v>1</v>
      </c>
      <c r="I58" s="15">
        <v>1</v>
      </c>
      <c r="J58" s="119">
        <f t="shared" si="14"/>
        <v>1</v>
      </c>
      <c r="K58" s="120"/>
      <c r="L58" s="119">
        <f t="shared" si="6"/>
        <v>0.95000000000000018</v>
      </c>
      <c r="M58" s="120"/>
      <c r="N58" s="119">
        <f t="shared" si="15"/>
        <v>0.95000000000000018</v>
      </c>
      <c r="O58" s="120"/>
      <c r="P58" s="119">
        <f t="shared" si="16"/>
        <v>513.00000000000011</v>
      </c>
      <c r="Q58" s="119"/>
      <c r="R58" s="119"/>
    </row>
    <row r="59" spans="1:18" ht="20.100000000000001" customHeight="1" x14ac:dyDescent="0.25">
      <c r="A59" s="79">
        <v>7</v>
      </c>
      <c r="B59" s="119">
        <f t="shared" si="9"/>
        <v>450</v>
      </c>
      <c r="C59" s="119"/>
      <c r="D59" s="119"/>
      <c r="E59" s="15">
        <v>1</v>
      </c>
      <c r="F59" s="15">
        <v>1</v>
      </c>
      <c r="G59" s="15">
        <v>1</v>
      </c>
      <c r="H59" s="15">
        <v>1</v>
      </c>
      <c r="I59" s="15">
        <v>1</v>
      </c>
      <c r="J59" s="119">
        <f t="shared" si="14"/>
        <v>1</v>
      </c>
      <c r="K59" s="120"/>
      <c r="L59" s="119">
        <f t="shared" si="6"/>
        <v>0.95000000000000018</v>
      </c>
      <c r="M59" s="120"/>
      <c r="N59" s="119">
        <f t="shared" si="15"/>
        <v>0.95000000000000018</v>
      </c>
      <c r="O59" s="120"/>
      <c r="P59" s="119">
        <f t="shared" si="16"/>
        <v>427.50000000000006</v>
      </c>
      <c r="Q59" s="119"/>
      <c r="R59" s="119"/>
    </row>
    <row r="60" spans="1:18" ht="20.100000000000001" customHeight="1" x14ac:dyDescent="0.25">
      <c r="A60" s="79">
        <v>8</v>
      </c>
      <c r="B60" s="119">
        <f t="shared" si="9"/>
        <v>558</v>
      </c>
      <c r="C60" s="119"/>
      <c r="D60" s="119"/>
      <c r="E60" s="15">
        <v>1</v>
      </c>
      <c r="F60" s="15">
        <v>1</v>
      </c>
      <c r="G60" s="15">
        <v>1</v>
      </c>
      <c r="H60" s="15">
        <v>1</v>
      </c>
      <c r="I60" s="15">
        <v>1</v>
      </c>
      <c r="J60" s="119">
        <f t="shared" si="14"/>
        <v>1</v>
      </c>
      <c r="K60" s="120"/>
      <c r="L60" s="119">
        <f t="shared" si="6"/>
        <v>0.95000000000000018</v>
      </c>
      <c r="M60" s="120"/>
      <c r="N60" s="119">
        <f t="shared" si="15"/>
        <v>0.95000000000000018</v>
      </c>
      <c r="O60" s="120"/>
      <c r="P60" s="119">
        <f t="shared" si="16"/>
        <v>530.10000000000014</v>
      </c>
      <c r="Q60" s="119"/>
      <c r="R60" s="119"/>
    </row>
    <row r="61" spans="1:18" ht="20.100000000000001" customHeight="1" x14ac:dyDescent="0.25">
      <c r="A61" s="79">
        <v>9</v>
      </c>
      <c r="B61" s="119">
        <f t="shared" si="9"/>
        <v>554.4</v>
      </c>
      <c r="C61" s="119"/>
      <c r="D61" s="119"/>
      <c r="E61" s="15">
        <v>1</v>
      </c>
      <c r="F61" s="15">
        <v>1</v>
      </c>
      <c r="G61" s="15">
        <v>1</v>
      </c>
      <c r="H61" s="15">
        <v>1</v>
      </c>
      <c r="I61" s="15">
        <v>1</v>
      </c>
      <c r="J61" s="119">
        <f t="shared" si="14"/>
        <v>1</v>
      </c>
      <c r="K61" s="120"/>
      <c r="L61" s="119">
        <f t="shared" si="6"/>
        <v>0.95000000000000018</v>
      </c>
      <c r="M61" s="120"/>
      <c r="N61" s="119">
        <f t="shared" si="15"/>
        <v>0.95000000000000018</v>
      </c>
      <c r="O61" s="120"/>
      <c r="P61" s="119">
        <f t="shared" si="16"/>
        <v>526.68000000000006</v>
      </c>
      <c r="Q61" s="119"/>
      <c r="R61" s="119"/>
    </row>
    <row r="62" spans="1:18" ht="20.100000000000001" customHeight="1" x14ac:dyDescent="0.25">
      <c r="A62" s="79">
        <v>10</v>
      </c>
      <c r="B62" s="119">
        <f t="shared" si="9"/>
        <v>567</v>
      </c>
      <c r="C62" s="119"/>
      <c r="D62" s="119"/>
      <c r="E62" s="15">
        <v>1</v>
      </c>
      <c r="F62" s="15">
        <v>1</v>
      </c>
      <c r="G62" s="15">
        <v>1</v>
      </c>
      <c r="H62" s="15">
        <v>1</v>
      </c>
      <c r="I62" s="15">
        <v>1</v>
      </c>
      <c r="J62" s="119">
        <f t="shared" si="14"/>
        <v>1</v>
      </c>
      <c r="K62" s="120"/>
      <c r="L62" s="119">
        <f t="shared" si="6"/>
        <v>0.95000000000000018</v>
      </c>
      <c r="M62" s="120"/>
      <c r="N62" s="119">
        <f t="shared" si="15"/>
        <v>0.95000000000000018</v>
      </c>
      <c r="O62" s="120"/>
      <c r="P62" s="119">
        <f t="shared" si="16"/>
        <v>538.65000000000009</v>
      </c>
      <c r="Q62" s="119"/>
      <c r="R62" s="119"/>
    </row>
    <row r="63" spans="1:18" ht="20.100000000000001" customHeight="1" x14ac:dyDescent="0.25">
      <c r="A63" s="79">
        <v>11</v>
      </c>
      <c r="B63" s="119">
        <f t="shared" si="9"/>
        <v>450</v>
      </c>
      <c r="C63" s="119"/>
      <c r="D63" s="119"/>
      <c r="E63" s="15">
        <v>1</v>
      </c>
      <c r="F63" s="15">
        <v>1</v>
      </c>
      <c r="G63" s="15">
        <v>1</v>
      </c>
      <c r="H63" s="15">
        <v>1</v>
      </c>
      <c r="I63" s="15">
        <v>1</v>
      </c>
      <c r="J63" s="119">
        <f t="shared" si="14"/>
        <v>1</v>
      </c>
      <c r="K63" s="120"/>
      <c r="L63" s="119">
        <f t="shared" si="6"/>
        <v>0.95000000000000018</v>
      </c>
      <c r="M63" s="120"/>
      <c r="N63" s="119">
        <f t="shared" si="15"/>
        <v>0.95000000000000018</v>
      </c>
      <c r="O63" s="120"/>
      <c r="P63" s="119">
        <f t="shared" si="16"/>
        <v>427.50000000000006</v>
      </c>
      <c r="Q63" s="119"/>
      <c r="R63" s="119"/>
    </row>
    <row r="64" spans="1:18" ht="20.100000000000001" customHeight="1" thickBot="1" x14ac:dyDescent="0.3">
      <c r="A64" s="80">
        <v>12</v>
      </c>
      <c r="B64" s="131">
        <f t="shared" si="9"/>
        <v>579.66101694915255</v>
      </c>
      <c r="C64" s="131"/>
      <c r="D64" s="131"/>
      <c r="E64" s="18">
        <v>1</v>
      </c>
      <c r="F64" s="18">
        <v>1</v>
      </c>
      <c r="G64" s="18">
        <v>1</v>
      </c>
      <c r="H64" s="18">
        <v>1</v>
      </c>
      <c r="I64" s="18">
        <v>1</v>
      </c>
      <c r="J64" s="131">
        <f t="shared" si="13"/>
        <v>1</v>
      </c>
      <c r="K64" s="201"/>
      <c r="L64" s="131">
        <f t="shared" si="6"/>
        <v>0.95000000000000018</v>
      </c>
      <c r="M64" s="201"/>
      <c r="N64" s="131">
        <f t="shared" si="7"/>
        <v>0.95000000000000018</v>
      </c>
      <c r="O64" s="201"/>
      <c r="P64" s="131">
        <f t="shared" si="8"/>
        <v>550.67796610169501</v>
      </c>
      <c r="Q64" s="131"/>
      <c r="R64" s="131"/>
    </row>
    <row r="66" spans="1:18" ht="20.100000000000001" customHeight="1" x14ac:dyDescent="0.25">
      <c r="E66" s="8"/>
      <c r="F66" s="8"/>
      <c r="G66" s="8"/>
      <c r="H66" s="8"/>
      <c r="I66" s="8"/>
      <c r="L66" s="109" t="s">
        <v>36</v>
      </c>
      <c r="M66" s="109"/>
      <c r="N66" s="109"/>
      <c r="O66" s="109"/>
      <c r="P66" s="111">
        <f>AVERAGE(P53:R64)</f>
        <v>510.38573328625245</v>
      </c>
      <c r="Q66" s="111"/>
      <c r="R66" s="111"/>
    </row>
    <row r="67" spans="1:18" ht="20.100000000000001" customHeight="1" x14ac:dyDescent="0.25">
      <c r="E67" s="6"/>
      <c r="L67" s="129" t="s">
        <v>37</v>
      </c>
      <c r="M67" s="129"/>
      <c r="N67" s="129"/>
      <c r="O67" s="129"/>
      <c r="P67" s="111">
        <f>STDEVA(P53:R64)</f>
        <v>48.512043673192963</v>
      </c>
      <c r="Q67" s="111"/>
      <c r="R67" s="111"/>
    </row>
    <row r="68" spans="1:18" ht="20.100000000000001" customHeight="1" x14ac:dyDescent="0.25">
      <c r="H68" s="9"/>
      <c r="L68" s="120" t="s">
        <v>35</v>
      </c>
      <c r="M68" s="120"/>
      <c r="N68" s="120"/>
      <c r="O68" s="120"/>
      <c r="P68" s="132">
        <f>P67/P66</f>
        <v>9.5049764343598409E-2</v>
      </c>
      <c r="Q68" s="132"/>
      <c r="R68" s="132"/>
    </row>
    <row r="69" spans="1:18" ht="20.100000000000001" customHeight="1" x14ac:dyDescent="0.25">
      <c r="I69" s="10"/>
    </row>
    <row r="70" spans="1:18" ht="20.100000000000001" customHeight="1" x14ac:dyDescent="0.25">
      <c r="I70" s="10"/>
    </row>
    <row r="71" spans="1:18" ht="20.100000000000001" customHeight="1" x14ac:dyDescent="0.25">
      <c r="A71" s="129" t="s">
        <v>111</v>
      </c>
      <c r="B71" s="129"/>
      <c r="C71" s="129"/>
      <c r="D71" s="129"/>
      <c r="E71" s="129"/>
      <c r="F71" s="129"/>
      <c r="G71" s="129"/>
      <c r="H71" s="129"/>
      <c r="I71" s="129"/>
      <c r="J71" s="129"/>
      <c r="K71" s="129"/>
      <c r="L71" s="129"/>
      <c r="M71" s="129"/>
      <c r="N71" s="129"/>
      <c r="O71" s="129"/>
      <c r="P71" s="129"/>
      <c r="Q71" s="129"/>
      <c r="R71" s="129"/>
    </row>
    <row r="72" spans="1:18" ht="20.100000000000001" customHeight="1" x14ac:dyDescent="0.25">
      <c r="I72" s="10"/>
    </row>
    <row r="73" spans="1:18" ht="20.100000000000001" customHeight="1" x14ac:dyDescent="0.25">
      <c r="I73" s="10"/>
    </row>
    <row r="74" spans="1:18" ht="20.100000000000001" customHeight="1" x14ac:dyDescent="0.25">
      <c r="I74" s="10"/>
    </row>
    <row r="75" spans="1:18" ht="20.100000000000001" customHeight="1" x14ac:dyDescent="0.25">
      <c r="I75" s="10"/>
    </row>
    <row r="76" spans="1:18" ht="20.100000000000001" customHeight="1" x14ac:dyDescent="0.25">
      <c r="I76" s="10"/>
    </row>
    <row r="77" spans="1:18" ht="20.100000000000001" customHeight="1" x14ac:dyDescent="0.25">
      <c r="I77" s="10"/>
    </row>
    <row r="78" spans="1:18" ht="20.100000000000001" customHeight="1" x14ac:dyDescent="0.25">
      <c r="I78" s="10"/>
    </row>
    <row r="79" spans="1:18" ht="20.100000000000001" customHeight="1" x14ac:dyDescent="0.25">
      <c r="I79" s="10"/>
    </row>
    <row r="80" spans="1:18" ht="20.100000000000001" customHeight="1" x14ac:dyDescent="0.25">
      <c r="I80" s="10"/>
    </row>
    <row r="81" spans="9:9" ht="20.100000000000001" customHeight="1" x14ac:dyDescent="0.25">
      <c r="I81" s="10"/>
    </row>
    <row r="82" spans="9:9" ht="20.100000000000001" customHeight="1" x14ac:dyDescent="0.25">
      <c r="I82" s="10"/>
    </row>
    <row r="83" spans="9:9" ht="20.100000000000001" customHeight="1" x14ac:dyDescent="0.25">
      <c r="I83" s="10"/>
    </row>
    <row r="84" spans="9:9" ht="20.100000000000001" customHeight="1" x14ac:dyDescent="0.25">
      <c r="I84" s="10"/>
    </row>
    <row r="85" spans="9:9" ht="20.100000000000001" customHeight="1" x14ac:dyDescent="0.25">
      <c r="I85" s="10"/>
    </row>
    <row r="86" spans="9:9" ht="20.100000000000001" customHeight="1" x14ac:dyDescent="0.25">
      <c r="I86" s="10"/>
    </row>
    <row r="87" spans="9:9" ht="20.100000000000001" customHeight="1" x14ac:dyDescent="0.25">
      <c r="I87" s="10"/>
    </row>
    <row r="88" spans="9:9" ht="20.100000000000001" customHeight="1" x14ac:dyDescent="0.25">
      <c r="I88" s="10"/>
    </row>
    <row r="89" spans="9:9" ht="20.100000000000001" customHeight="1" x14ac:dyDescent="0.25">
      <c r="I89" s="10"/>
    </row>
    <row r="90" spans="9:9" ht="20.100000000000001" customHeight="1" x14ac:dyDescent="0.25">
      <c r="I90" s="10"/>
    </row>
    <row r="91" spans="9:9" ht="20.100000000000001" customHeight="1" x14ac:dyDescent="0.25">
      <c r="I91" s="10"/>
    </row>
    <row r="92" spans="9:9" ht="20.100000000000001" customHeight="1" x14ac:dyDescent="0.25">
      <c r="I92" s="10"/>
    </row>
    <row r="93" spans="9:9" ht="20.100000000000001" customHeight="1" x14ac:dyDescent="0.25">
      <c r="I93" s="10"/>
    </row>
    <row r="94" spans="9:9" ht="20.100000000000001" customHeight="1" x14ac:dyDescent="0.25">
      <c r="I94" s="10"/>
    </row>
    <row r="95" spans="9:9" ht="20.100000000000001" customHeight="1" x14ac:dyDescent="0.25">
      <c r="I95" s="10"/>
    </row>
    <row r="96" spans="9:9" ht="20.100000000000001" customHeight="1" x14ac:dyDescent="0.25">
      <c r="I96" s="10"/>
    </row>
    <row r="97" spans="1:18" ht="20.100000000000001" customHeight="1" x14ac:dyDescent="0.25">
      <c r="I97" s="10"/>
    </row>
    <row r="98" spans="1:18" ht="20.100000000000001" customHeight="1" x14ac:dyDescent="0.25">
      <c r="I98" s="10"/>
    </row>
    <row r="99" spans="1:18" ht="20.100000000000001" customHeight="1" x14ac:dyDescent="0.25">
      <c r="I99" s="10"/>
    </row>
    <row r="100" spans="1:18" ht="20.100000000000001" customHeight="1" x14ac:dyDescent="0.25">
      <c r="I100" s="10"/>
    </row>
    <row r="101" spans="1:18" ht="20.100000000000001" customHeight="1" x14ac:dyDescent="0.25">
      <c r="I101" s="10"/>
    </row>
    <row r="102" spans="1:18" ht="20.100000000000001" customHeight="1" x14ac:dyDescent="0.25">
      <c r="I102" s="10"/>
    </row>
    <row r="103" spans="1:18" ht="20.100000000000001" customHeight="1" x14ac:dyDescent="0.25">
      <c r="I103" s="10"/>
    </row>
    <row r="104" spans="1:18" ht="20.100000000000001" customHeight="1" x14ac:dyDescent="0.25">
      <c r="I104" s="10"/>
    </row>
    <row r="105" spans="1:18" ht="20.100000000000001" customHeight="1" x14ac:dyDescent="0.25">
      <c r="A105" s="129" t="s">
        <v>110</v>
      </c>
      <c r="B105" s="129"/>
      <c r="C105" s="129"/>
      <c r="D105" s="129"/>
      <c r="E105" s="129"/>
      <c r="F105" s="129"/>
      <c r="G105" s="129"/>
      <c r="H105" s="129"/>
      <c r="I105" s="129"/>
      <c r="J105" s="129"/>
      <c r="K105" s="129"/>
      <c r="L105" s="129"/>
      <c r="M105" s="129"/>
      <c r="N105" s="129"/>
      <c r="O105" s="129"/>
      <c r="P105" s="129"/>
      <c r="Q105" s="129"/>
      <c r="R105" s="129"/>
    </row>
    <row r="106" spans="1:18" ht="20.100000000000001" customHeight="1" x14ac:dyDescent="0.25">
      <c r="I106" s="10"/>
    </row>
    <row r="107" spans="1:18" ht="20.100000000000001" customHeight="1" x14ac:dyDescent="0.25">
      <c r="I107" s="10"/>
    </row>
    <row r="108" spans="1:18" ht="20.100000000000001" customHeight="1" x14ac:dyDescent="0.25">
      <c r="I108" s="10"/>
    </row>
    <row r="109" spans="1:18" ht="20.100000000000001" customHeight="1" x14ac:dyDescent="0.25">
      <c r="I109" s="10"/>
    </row>
    <row r="110" spans="1:18" ht="20.100000000000001" customHeight="1" x14ac:dyDescent="0.25">
      <c r="I110" s="10"/>
    </row>
    <row r="111" spans="1:18" ht="20.100000000000001" customHeight="1" x14ac:dyDescent="0.25">
      <c r="I111" s="10"/>
    </row>
    <row r="112" spans="1:18" ht="20.100000000000001" customHeight="1" x14ac:dyDescent="0.25">
      <c r="I112" s="10"/>
    </row>
    <row r="113" spans="1:18" ht="20.100000000000001" customHeight="1" x14ac:dyDescent="0.25">
      <c r="I113" s="10"/>
    </row>
    <row r="114" spans="1:18" ht="20.100000000000001" customHeight="1" x14ac:dyDescent="0.25">
      <c r="I114" s="10"/>
    </row>
    <row r="115" spans="1:18" ht="20.100000000000001" customHeight="1" x14ac:dyDescent="0.25">
      <c r="I115" s="10"/>
    </row>
    <row r="116" spans="1:18" ht="20.100000000000001" customHeight="1" x14ac:dyDescent="0.25">
      <c r="I116" s="10"/>
    </row>
    <row r="117" spans="1:18" ht="20.100000000000001" customHeight="1" x14ac:dyDescent="0.25">
      <c r="I117" s="10"/>
    </row>
    <row r="118" spans="1:18" ht="20.100000000000001" customHeight="1" x14ac:dyDescent="0.25">
      <c r="I118" s="10"/>
    </row>
    <row r="119" spans="1:18" ht="20.100000000000001" customHeight="1" x14ac:dyDescent="0.25">
      <c r="I119" s="10"/>
    </row>
    <row r="120" spans="1:18" ht="20.100000000000001" customHeight="1" x14ac:dyDescent="0.25">
      <c r="I120" s="10"/>
    </row>
    <row r="121" spans="1:18" ht="20.100000000000001" customHeight="1" x14ac:dyDescent="0.25">
      <c r="I121" s="10"/>
    </row>
    <row r="122" spans="1:18" ht="20.100000000000001" customHeight="1" x14ac:dyDescent="0.25">
      <c r="I122" s="10"/>
    </row>
    <row r="123" spans="1:18" ht="20.100000000000001" customHeight="1" x14ac:dyDescent="0.25">
      <c r="A123" s="129" t="s">
        <v>109</v>
      </c>
      <c r="B123" s="129"/>
      <c r="C123" s="129"/>
      <c r="D123" s="129"/>
      <c r="E123" s="129"/>
      <c r="F123" s="129"/>
      <c r="G123" s="129"/>
      <c r="H123" s="129"/>
      <c r="I123" s="129"/>
      <c r="J123" s="129"/>
      <c r="K123" s="129"/>
      <c r="L123" s="129"/>
      <c r="M123" s="129"/>
      <c r="N123" s="129"/>
      <c r="O123" s="129"/>
      <c r="P123" s="129"/>
      <c r="Q123" s="129"/>
      <c r="R123" s="129"/>
    </row>
    <row r="124" spans="1:18" ht="20.100000000000001" customHeight="1" x14ac:dyDescent="0.25">
      <c r="I124" s="10"/>
    </row>
    <row r="125" spans="1:18" ht="20.100000000000001" customHeight="1" x14ac:dyDescent="0.25">
      <c r="I125" s="10"/>
    </row>
    <row r="126" spans="1:18" ht="20.100000000000001" customHeight="1" x14ac:dyDescent="0.25">
      <c r="I126" s="10"/>
    </row>
    <row r="127" spans="1:18" ht="20.100000000000001" customHeight="1" x14ac:dyDescent="0.25">
      <c r="I127" s="10"/>
    </row>
    <row r="128" spans="1:18" ht="20.100000000000001" customHeight="1" x14ac:dyDescent="0.25">
      <c r="I128" s="10"/>
    </row>
    <row r="129" spans="1:18" ht="20.100000000000001" customHeight="1" x14ac:dyDescent="0.25">
      <c r="I129" s="10"/>
    </row>
    <row r="130" spans="1:18" ht="20.100000000000001" customHeight="1" x14ac:dyDescent="0.25">
      <c r="I130" s="10"/>
    </row>
    <row r="131" spans="1:18" ht="20.100000000000001" customHeight="1" x14ac:dyDescent="0.25">
      <c r="I131" s="10"/>
    </row>
    <row r="132" spans="1:18" ht="20.100000000000001" customHeight="1" x14ac:dyDescent="0.25">
      <c r="I132" s="10"/>
    </row>
    <row r="133" spans="1:18" ht="20.100000000000001" customHeight="1" x14ac:dyDescent="0.25">
      <c r="I133" s="10"/>
    </row>
    <row r="134" spans="1:18" ht="20.100000000000001" customHeight="1" x14ac:dyDescent="0.25">
      <c r="I134" s="10"/>
    </row>
    <row r="135" spans="1:18" ht="20.100000000000001" customHeight="1" x14ac:dyDescent="0.25">
      <c r="I135" s="10"/>
    </row>
    <row r="136" spans="1:18" ht="20.100000000000001" customHeight="1" x14ac:dyDescent="0.25">
      <c r="I136" s="10"/>
    </row>
    <row r="137" spans="1:18" ht="20.100000000000001" customHeight="1" x14ac:dyDescent="0.25">
      <c r="I137" s="10"/>
    </row>
    <row r="138" spans="1:18" ht="20.100000000000001" customHeight="1" x14ac:dyDescent="0.25">
      <c r="I138" s="10"/>
    </row>
    <row r="139" spans="1:18" ht="20.100000000000001" customHeight="1" x14ac:dyDescent="0.25">
      <c r="I139" s="10"/>
    </row>
    <row r="142" spans="1:18" ht="20.100000000000001" customHeight="1" x14ac:dyDescent="0.25">
      <c r="A142" s="117" t="s">
        <v>38</v>
      </c>
      <c r="B142" s="117"/>
      <c r="C142" s="117"/>
      <c r="D142" s="117"/>
      <c r="E142" s="117"/>
      <c r="F142" s="117"/>
      <c r="G142" s="117"/>
      <c r="H142" s="117"/>
      <c r="I142" s="117"/>
      <c r="J142" s="117"/>
      <c r="K142" s="117"/>
      <c r="L142" s="117"/>
      <c r="M142" s="117"/>
      <c r="N142" s="117"/>
      <c r="O142" s="117"/>
      <c r="P142" s="117"/>
      <c r="Q142" s="117"/>
      <c r="R142" s="117"/>
    </row>
    <row r="144" spans="1:18" ht="39.950000000000003" customHeight="1" x14ac:dyDescent="0.25">
      <c r="A144" s="125" t="s">
        <v>40</v>
      </c>
      <c r="B144" s="125"/>
      <c r="C144" s="125"/>
      <c r="D144" s="125"/>
      <c r="E144" s="125"/>
      <c r="F144" s="125"/>
      <c r="G144" s="125"/>
      <c r="H144" s="125"/>
      <c r="I144" s="11" t="s">
        <v>86</v>
      </c>
      <c r="J144" s="125" t="s">
        <v>39</v>
      </c>
      <c r="K144" s="125"/>
      <c r="L144" s="125"/>
      <c r="M144" s="125" t="s">
        <v>33</v>
      </c>
      <c r="N144" s="125"/>
      <c r="O144" s="125"/>
      <c r="P144" s="125" t="s">
        <v>41</v>
      </c>
      <c r="Q144" s="125"/>
      <c r="R144" s="125"/>
    </row>
    <row r="145" spans="1:18" ht="20.100000000000001" customHeight="1" x14ac:dyDescent="0.25">
      <c r="A145" s="129" t="s">
        <v>495</v>
      </c>
      <c r="B145" s="129"/>
      <c r="C145" s="129"/>
      <c r="D145" s="129"/>
      <c r="E145" s="129"/>
      <c r="F145" s="129"/>
      <c r="G145" s="129"/>
      <c r="H145" s="129"/>
      <c r="I145" s="3" t="s">
        <v>99</v>
      </c>
      <c r="J145" s="178">
        <v>0.15</v>
      </c>
      <c r="K145" s="178"/>
      <c r="L145" s="178"/>
      <c r="M145" s="178">
        <f>J145</f>
        <v>0.15</v>
      </c>
      <c r="N145" s="178"/>
      <c r="O145" s="178"/>
      <c r="P145" s="178">
        <f>(J145-M145)</f>
        <v>0</v>
      </c>
      <c r="Q145" s="178"/>
      <c r="R145" s="178"/>
    </row>
    <row r="146" spans="1:18" ht="20.100000000000001" customHeight="1" x14ac:dyDescent="0.25">
      <c r="A146" s="120" t="s">
        <v>496</v>
      </c>
      <c r="B146" s="120"/>
      <c r="C146" s="120"/>
      <c r="D146" s="120"/>
      <c r="E146" s="120"/>
      <c r="F146" s="120"/>
      <c r="G146" s="120"/>
      <c r="H146" s="120"/>
      <c r="I146" s="7" t="s">
        <v>100</v>
      </c>
      <c r="J146" s="179">
        <v>0.1</v>
      </c>
      <c r="K146" s="179"/>
      <c r="L146" s="179"/>
      <c r="M146" s="179">
        <f t="shared" ref="M146:M151" si="17">J146</f>
        <v>0.1</v>
      </c>
      <c r="N146" s="179"/>
      <c r="O146" s="179"/>
      <c r="P146" s="179">
        <f t="shared" ref="P146:P151" si="18">(J146-M146)</f>
        <v>0</v>
      </c>
      <c r="Q146" s="179"/>
      <c r="R146" s="179"/>
    </row>
    <row r="147" spans="1:18" ht="20.100000000000001" customHeight="1" x14ac:dyDescent="0.25">
      <c r="A147" s="120" t="s">
        <v>497</v>
      </c>
      <c r="B147" s="120"/>
      <c r="C147" s="120"/>
      <c r="D147" s="120"/>
      <c r="E147" s="120"/>
      <c r="F147" s="120"/>
      <c r="G147" s="120"/>
      <c r="H147" s="120"/>
      <c r="I147" s="7" t="s">
        <v>101</v>
      </c>
      <c r="J147" s="179">
        <v>0.05</v>
      </c>
      <c r="K147" s="179"/>
      <c r="L147" s="179"/>
      <c r="M147" s="179">
        <f t="shared" si="17"/>
        <v>0.05</v>
      </c>
      <c r="N147" s="179"/>
      <c r="O147" s="179"/>
      <c r="P147" s="179">
        <f t="shared" si="18"/>
        <v>0</v>
      </c>
      <c r="Q147" s="179"/>
      <c r="R147" s="179"/>
    </row>
    <row r="148" spans="1:18" ht="20.100000000000001" customHeight="1" x14ac:dyDescent="0.25">
      <c r="A148" s="120" t="s">
        <v>498</v>
      </c>
      <c r="B148" s="120"/>
      <c r="C148" s="120"/>
      <c r="D148" s="120"/>
      <c r="E148" s="120"/>
      <c r="F148" s="120"/>
      <c r="G148" s="120"/>
      <c r="H148" s="120"/>
      <c r="I148" s="7" t="s">
        <v>102</v>
      </c>
      <c r="J148" s="179">
        <v>0.15</v>
      </c>
      <c r="K148" s="179"/>
      <c r="L148" s="179"/>
      <c r="M148" s="179">
        <f t="shared" si="17"/>
        <v>0.15</v>
      </c>
      <c r="N148" s="179"/>
      <c r="O148" s="179"/>
      <c r="P148" s="179">
        <f t="shared" si="18"/>
        <v>0</v>
      </c>
      <c r="Q148" s="179"/>
      <c r="R148" s="179"/>
    </row>
    <row r="149" spans="1:18" ht="20.100000000000001" customHeight="1" x14ac:dyDescent="0.25">
      <c r="A149" s="120" t="s">
        <v>499</v>
      </c>
      <c r="B149" s="120"/>
      <c r="C149" s="120"/>
      <c r="D149" s="120"/>
      <c r="E149" s="120"/>
      <c r="F149" s="120"/>
      <c r="G149" s="120"/>
      <c r="H149" s="120"/>
      <c r="I149" s="7" t="s">
        <v>103</v>
      </c>
      <c r="J149" s="179">
        <v>0.1</v>
      </c>
      <c r="K149" s="179"/>
      <c r="L149" s="179"/>
      <c r="M149" s="179">
        <f t="shared" si="17"/>
        <v>0.1</v>
      </c>
      <c r="N149" s="179"/>
      <c r="O149" s="179"/>
      <c r="P149" s="179">
        <f t="shared" si="18"/>
        <v>0</v>
      </c>
      <c r="Q149" s="179"/>
      <c r="R149" s="179"/>
    </row>
    <row r="150" spans="1:18" ht="20.100000000000001" customHeight="1" x14ac:dyDescent="0.25">
      <c r="A150" s="120" t="s">
        <v>1</v>
      </c>
      <c r="B150" s="120"/>
      <c r="C150" s="120"/>
      <c r="D150" s="120"/>
      <c r="E150" s="120"/>
      <c r="F150" s="120"/>
      <c r="G150" s="120"/>
      <c r="H150" s="120"/>
      <c r="I150" s="7" t="s">
        <v>104</v>
      </c>
      <c r="J150" s="179">
        <v>0.3</v>
      </c>
      <c r="K150" s="179"/>
      <c r="L150" s="179"/>
      <c r="M150" s="179">
        <f t="shared" si="17"/>
        <v>0.3</v>
      </c>
      <c r="N150" s="179"/>
      <c r="O150" s="179"/>
      <c r="P150" s="179">
        <f t="shared" si="18"/>
        <v>0</v>
      </c>
      <c r="Q150" s="179"/>
      <c r="R150" s="179"/>
    </row>
    <row r="151" spans="1:18" ht="20.100000000000001" customHeight="1" x14ac:dyDescent="0.25">
      <c r="A151" s="120" t="s">
        <v>500</v>
      </c>
      <c r="B151" s="120"/>
      <c r="C151" s="120"/>
      <c r="D151" s="120"/>
      <c r="E151" s="120"/>
      <c r="F151" s="120"/>
      <c r="G151" s="120"/>
      <c r="H151" s="120"/>
      <c r="I151" s="7" t="s">
        <v>105</v>
      </c>
      <c r="J151" s="179">
        <v>0.05</v>
      </c>
      <c r="K151" s="179"/>
      <c r="L151" s="179"/>
      <c r="M151" s="179">
        <f t="shared" si="17"/>
        <v>0.05</v>
      </c>
      <c r="N151" s="179"/>
      <c r="O151" s="179"/>
      <c r="P151" s="179">
        <f t="shared" si="18"/>
        <v>0</v>
      </c>
      <c r="Q151" s="179"/>
      <c r="R151" s="179"/>
    </row>
    <row r="153" spans="1:18" ht="20.100000000000001" customHeight="1" x14ac:dyDescent="0.25">
      <c r="A153" s="109" t="s">
        <v>285</v>
      </c>
      <c r="B153" s="109"/>
      <c r="C153" s="109"/>
      <c r="D153" s="109"/>
      <c r="E153" s="109"/>
      <c r="F153" s="109"/>
      <c r="G153" s="109"/>
      <c r="H153" s="109"/>
      <c r="I153" s="109"/>
      <c r="J153" s="205">
        <f>1+(SUM(J145:L151))</f>
        <v>1.9</v>
      </c>
      <c r="K153" s="205"/>
      <c r="L153" s="205"/>
      <c r="M153" s="205">
        <f>1+(SUM(M145:O151))</f>
        <v>1.9</v>
      </c>
      <c r="N153" s="205"/>
      <c r="O153" s="205"/>
    </row>
    <row r="154" spans="1:18" ht="20.100000000000001" customHeight="1" x14ac:dyDescent="0.25">
      <c r="A154" s="133" t="s">
        <v>119</v>
      </c>
      <c r="B154" s="133"/>
      <c r="C154" s="133"/>
      <c r="D154" s="133"/>
      <c r="E154" s="133"/>
      <c r="F154" s="133"/>
      <c r="G154" s="133"/>
      <c r="H154" s="133"/>
      <c r="I154" s="133"/>
      <c r="J154" s="133"/>
      <c r="K154" s="133"/>
      <c r="L154" s="133"/>
      <c r="M154" s="133"/>
      <c r="N154" s="133"/>
      <c r="O154" s="133"/>
    </row>
    <row r="155" spans="1:18" ht="20.100000000000001" customHeight="1" x14ac:dyDescent="0.25">
      <c r="A155" s="200"/>
      <c r="B155" s="200"/>
      <c r="C155" s="200"/>
      <c r="D155" s="200"/>
      <c r="E155" s="200"/>
      <c r="F155" s="200"/>
      <c r="G155" s="200"/>
      <c r="H155" s="200"/>
      <c r="I155" s="200"/>
      <c r="J155" s="200"/>
      <c r="K155" s="200"/>
      <c r="L155" s="200"/>
      <c r="M155" s="200"/>
      <c r="N155" s="200"/>
      <c r="O155" s="200"/>
      <c r="P155" s="205">
        <f>SUM(P145:R151)</f>
        <v>0</v>
      </c>
      <c r="Q155" s="205"/>
      <c r="R155" s="205"/>
    </row>
    <row r="157" spans="1:18" ht="20.100000000000001" customHeight="1" x14ac:dyDescent="0.25">
      <c r="A157" s="202" t="s">
        <v>501</v>
      </c>
      <c r="B157" s="202"/>
      <c r="C157" s="202"/>
      <c r="D157" s="202"/>
      <c r="E157" s="202" t="s">
        <v>34</v>
      </c>
      <c r="F157" s="202"/>
      <c r="G157" s="202"/>
      <c r="H157" s="202"/>
      <c r="I157" s="202"/>
      <c r="J157" s="202"/>
      <c r="K157" s="202"/>
      <c r="L157" s="202"/>
      <c r="M157" s="202"/>
      <c r="N157" s="202"/>
      <c r="O157" s="202"/>
      <c r="P157" s="202" t="s">
        <v>15</v>
      </c>
      <c r="Q157" s="202"/>
      <c r="R157" s="202"/>
    </row>
    <row r="158" spans="1:18" ht="20.100000000000001" customHeight="1" x14ac:dyDescent="0.25">
      <c r="A158" s="202"/>
      <c r="B158" s="202"/>
      <c r="C158" s="202"/>
      <c r="D158" s="202"/>
      <c r="E158" s="11"/>
      <c r="F158" s="11"/>
      <c r="G158" s="11"/>
      <c r="H158" s="11"/>
      <c r="I158" s="11" t="s">
        <v>99</v>
      </c>
      <c r="J158" s="11" t="s">
        <v>100</v>
      </c>
      <c r="K158" s="11" t="s">
        <v>101</v>
      </c>
      <c r="L158" s="11" t="s">
        <v>102</v>
      </c>
      <c r="M158" s="11" t="s">
        <v>103</v>
      </c>
      <c r="N158" s="11" t="s">
        <v>104</v>
      </c>
      <c r="O158" s="11" t="s">
        <v>105</v>
      </c>
      <c r="P158" s="203"/>
      <c r="Q158" s="203"/>
      <c r="R158" s="203"/>
    </row>
    <row r="159" spans="1:18" ht="20.100000000000001" customHeight="1" thickBot="1" x14ac:dyDescent="0.3">
      <c r="A159" s="204"/>
      <c r="B159" s="204"/>
      <c r="C159" s="204"/>
      <c r="D159" s="204"/>
      <c r="E159" s="72"/>
      <c r="F159" s="72"/>
      <c r="G159" s="72"/>
      <c r="H159" s="72"/>
      <c r="I159" s="72">
        <f>$M$145</f>
        <v>0.15</v>
      </c>
      <c r="J159" s="72">
        <f>$M$146</f>
        <v>0.1</v>
      </c>
      <c r="K159" s="72">
        <f>$M$147</f>
        <v>0.05</v>
      </c>
      <c r="L159" s="72">
        <f>$M$148</f>
        <v>0.15</v>
      </c>
      <c r="M159" s="72">
        <f>$M$149</f>
        <v>0.1</v>
      </c>
      <c r="N159" s="72">
        <f>$M$150</f>
        <v>0.3</v>
      </c>
      <c r="O159" s="72">
        <f>$M$151</f>
        <v>0.05</v>
      </c>
      <c r="P159" s="188">
        <f>1+(SUM(I159:O159))</f>
        <v>1.9</v>
      </c>
      <c r="Q159" s="188"/>
      <c r="R159" s="188"/>
    </row>
    <row r="161" spans="1:23" ht="20.100000000000001" customHeight="1" x14ac:dyDescent="0.25">
      <c r="A161" s="129" t="s">
        <v>281</v>
      </c>
      <c r="B161" s="129"/>
      <c r="C161" s="129"/>
      <c r="D161" s="129"/>
      <c r="E161" s="129"/>
      <c r="F161" s="129"/>
      <c r="G161" s="129"/>
      <c r="H161" s="129"/>
      <c r="I161" s="129"/>
      <c r="J161" s="129"/>
      <c r="K161" s="129"/>
      <c r="L161" s="129"/>
      <c r="M161" s="129"/>
      <c r="N161" s="129"/>
      <c r="O161" s="129"/>
      <c r="P161" s="129"/>
      <c r="Q161" s="129"/>
      <c r="R161" s="129"/>
    </row>
    <row r="162" spans="1:23" ht="20.100000000000001" customHeight="1" x14ac:dyDescent="0.25">
      <c r="A162" s="129"/>
      <c r="B162" s="129"/>
      <c r="C162" s="129"/>
      <c r="D162" s="129"/>
      <c r="E162" s="129"/>
      <c r="F162" s="129"/>
      <c r="G162" s="129"/>
      <c r="H162" s="129"/>
      <c r="I162" s="129"/>
      <c r="J162" s="129"/>
      <c r="K162" s="129"/>
      <c r="L162" s="129"/>
      <c r="M162" s="129"/>
      <c r="N162" s="129"/>
      <c r="O162" s="129"/>
      <c r="P162" s="129"/>
      <c r="Q162" s="129"/>
      <c r="R162" s="129"/>
    </row>
    <row r="163" spans="1:23" ht="20.100000000000001" customHeight="1" x14ac:dyDescent="0.25">
      <c r="A163" s="129"/>
      <c r="B163" s="129"/>
      <c r="C163" s="129"/>
      <c r="D163" s="129"/>
      <c r="E163" s="129"/>
      <c r="F163" s="129"/>
      <c r="G163" s="129"/>
      <c r="H163" s="129"/>
      <c r="I163" s="129"/>
      <c r="J163" s="129"/>
      <c r="K163" s="129"/>
      <c r="L163" s="129"/>
      <c r="M163" s="129"/>
      <c r="N163" s="129"/>
      <c r="O163" s="129"/>
      <c r="P163" s="129"/>
      <c r="Q163" s="129"/>
      <c r="R163" s="129"/>
      <c r="T163" s="102"/>
      <c r="U163" s="102"/>
    </row>
    <row r="164" spans="1:23" ht="20.100000000000001" customHeight="1" x14ac:dyDescent="0.25">
      <c r="T164" s="102"/>
      <c r="U164" s="102"/>
    </row>
    <row r="165" spans="1:23" ht="39.950000000000003" customHeight="1" x14ac:dyDescent="0.25">
      <c r="A165" s="5" t="s">
        <v>17</v>
      </c>
      <c r="B165" s="125" t="str">
        <f t="shared" ref="B165:B177" si="19">P52</f>
        <v>Valor unitário homogeneizado</v>
      </c>
      <c r="C165" s="125"/>
      <c r="D165" s="125"/>
      <c r="E165" s="5"/>
      <c r="F165" s="5"/>
      <c r="G165" s="5"/>
      <c r="H165" s="5"/>
      <c r="I165" s="5" t="s">
        <v>99</v>
      </c>
      <c r="J165" s="5" t="s">
        <v>100</v>
      </c>
      <c r="K165" s="5" t="s">
        <v>101</v>
      </c>
      <c r="L165" s="5" t="s">
        <v>102</v>
      </c>
      <c r="M165" s="5" t="s">
        <v>103</v>
      </c>
      <c r="N165" s="5" t="s">
        <v>104</v>
      </c>
      <c r="O165" s="5" t="s">
        <v>105</v>
      </c>
      <c r="P165" s="125" t="s">
        <v>15</v>
      </c>
      <c r="Q165" s="125"/>
      <c r="R165" s="125"/>
      <c r="T165" s="102" t="s">
        <v>475</v>
      </c>
      <c r="U165" s="102" t="s">
        <v>476</v>
      </c>
      <c r="V165" s="102" t="s">
        <v>477</v>
      </c>
      <c r="W165" s="4" t="s">
        <v>478</v>
      </c>
    </row>
    <row r="166" spans="1:23" ht="20.100000000000001" customHeight="1" x14ac:dyDescent="0.25">
      <c r="A166" s="79">
        <v>1</v>
      </c>
      <c r="B166" s="187">
        <f t="shared" si="19"/>
        <v>475.00000000000011</v>
      </c>
      <c r="C166" s="187"/>
      <c r="D166" s="187"/>
      <c r="E166" s="16"/>
      <c r="F166" s="16"/>
      <c r="G166" s="16"/>
      <c r="H166" s="16"/>
      <c r="I166" s="16">
        <f>$J$145</f>
        <v>0.15</v>
      </c>
      <c r="J166" s="16">
        <f>$J$146</f>
        <v>0.1</v>
      </c>
      <c r="K166" s="16">
        <f>$J$147</f>
        <v>0.05</v>
      </c>
      <c r="L166" s="16">
        <f>$J$148</f>
        <v>0.15</v>
      </c>
      <c r="M166" s="16">
        <f>$J$149</f>
        <v>0.1</v>
      </c>
      <c r="N166" s="16">
        <f>$J$150</f>
        <v>0.3</v>
      </c>
      <c r="O166" s="16">
        <f>$J$151</f>
        <v>0.05</v>
      </c>
      <c r="P166" s="206">
        <f t="shared" ref="P166:P177" si="20">1+(SUM(I166:O166))</f>
        <v>1.9</v>
      </c>
      <c r="Q166" s="206"/>
      <c r="R166" s="206"/>
      <c r="T166" s="102">
        <v>1</v>
      </c>
      <c r="U166" s="105">
        <f>P166</f>
        <v>1.9</v>
      </c>
      <c r="V166" s="102">
        <v>1.82</v>
      </c>
      <c r="W166" s="4">
        <v>1</v>
      </c>
    </row>
    <row r="167" spans="1:23" ht="20.100000000000001" customHeight="1" x14ac:dyDescent="0.25">
      <c r="A167" s="79">
        <v>2</v>
      </c>
      <c r="B167" s="119">
        <f t="shared" si="19"/>
        <v>480.93750000000011</v>
      </c>
      <c r="C167" s="119"/>
      <c r="D167" s="119"/>
      <c r="E167" s="16"/>
      <c r="F167" s="16"/>
      <c r="G167" s="16"/>
      <c r="H167" s="16"/>
      <c r="I167" s="16">
        <f t="shared" ref="I167:I177" si="21">$J$145</f>
        <v>0.15</v>
      </c>
      <c r="J167" s="16">
        <f t="shared" ref="J167:J177" si="22">$J$146</f>
        <v>0.1</v>
      </c>
      <c r="K167" s="16">
        <f t="shared" ref="K167:K177" si="23">$J$147</f>
        <v>0.05</v>
      </c>
      <c r="L167" s="16">
        <f t="shared" ref="L167:L177" si="24">$J$148</f>
        <v>0.15</v>
      </c>
      <c r="M167" s="16">
        <f t="shared" ref="M167:M177" si="25">$J$149</f>
        <v>0.1</v>
      </c>
      <c r="N167" s="16">
        <f t="shared" ref="N167:N177" si="26">$J$150</f>
        <v>0.3</v>
      </c>
      <c r="O167" s="16">
        <f t="shared" ref="O167:O177" si="27">$J$151</f>
        <v>0.05</v>
      </c>
      <c r="P167" s="127">
        <f t="shared" si="20"/>
        <v>1.9</v>
      </c>
      <c r="Q167" s="127"/>
      <c r="R167" s="127"/>
      <c r="T167" s="102">
        <v>1</v>
      </c>
      <c r="U167" s="105">
        <f t="shared" ref="U167:U177" si="28">P167</f>
        <v>1.9</v>
      </c>
      <c r="V167" s="102">
        <v>1.82</v>
      </c>
      <c r="W167" s="4">
        <v>1</v>
      </c>
    </row>
    <row r="168" spans="1:23" ht="20.100000000000001" customHeight="1" x14ac:dyDescent="0.25">
      <c r="A168" s="79">
        <v>3</v>
      </c>
      <c r="B168" s="119">
        <f t="shared" si="19"/>
        <v>527.25000000000011</v>
      </c>
      <c r="C168" s="119"/>
      <c r="D168" s="119"/>
      <c r="E168" s="16"/>
      <c r="F168" s="16"/>
      <c r="G168" s="16"/>
      <c r="H168" s="16"/>
      <c r="I168" s="16">
        <f t="shared" si="21"/>
        <v>0.15</v>
      </c>
      <c r="J168" s="16">
        <f t="shared" si="22"/>
        <v>0.1</v>
      </c>
      <c r="K168" s="16">
        <f t="shared" si="23"/>
        <v>0.05</v>
      </c>
      <c r="L168" s="16">
        <f t="shared" si="24"/>
        <v>0.15</v>
      </c>
      <c r="M168" s="16">
        <f t="shared" si="25"/>
        <v>0.1</v>
      </c>
      <c r="N168" s="16">
        <f t="shared" si="26"/>
        <v>0.3</v>
      </c>
      <c r="O168" s="16">
        <f t="shared" si="27"/>
        <v>0.05</v>
      </c>
      <c r="P168" s="127">
        <f t="shared" si="20"/>
        <v>1.9</v>
      </c>
      <c r="Q168" s="127"/>
      <c r="R168" s="127"/>
      <c r="T168" s="102">
        <v>1</v>
      </c>
      <c r="U168" s="105">
        <f t="shared" si="28"/>
        <v>1.9</v>
      </c>
      <c r="V168" s="102">
        <v>1.82</v>
      </c>
      <c r="W168" s="4">
        <v>1</v>
      </c>
    </row>
    <row r="169" spans="1:23" ht="20.100000000000001" customHeight="1" x14ac:dyDescent="0.25">
      <c r="A169" s="79">
        <v>4</v>
      </c>
      <c r="B169" s="119">
        <f t="shared" si="19"/>
        <v>541.50000000000011</v>
      </c>
      <c r="C169" s="119"/>
      <c r="D169" s="119"/>
      <c r="E169" s="16"/>
      <c r="F169" s="16"/>
      <c r="G169" s="16"/>
      <c r="H169" s="16"/>
      <c r="I169" s="16">
        <f t="shared" si="21"/>
        <v>0.15</v>
      </c>
      <c r="J169" s="16">
        <f t="shared" si="22"/>
        <v>0.1</v>
      </c>
      <c r="K169" s="16">
        <f t="shared" si="23"/>
        <v>0.05</v>
      </c>
      <c r="L169" s="16">
        <f t="shared" si="24"/>
        <v>0.15</v>
      </c>
      <c r="M169" s="16">
        <f t="shared" si="25"/>
        <v>0.1</v>
      </c>
      <c r="N169" s="16">
        <f t="shared" si="26"/>
        <v>0.3</v>
      </c>
      <c r="O169" s="16">
        <f t="shared" si="27"/>
        <v>0.05</v>
      </c>
      <c r="P169" s="127">
        <f t="shared" si="20"/>
        <v>1.9</v>
      </c>
      <c r="Q169" s="127"/>
      <c r="R169" s="127"/>
      <c r="T169" s="102">
        <v>1</v>
      </c>
      <c r="U169" s="105">
        <f t="shared" si="28"/>
        <v>1.9</v>
      </c>
      <c r="V169" s="102">
        <v>1.82</v>
      </c>
      <c r="W169" s="4">
        <v>1</v>
      </c>
    </row>
    <row r="170" spans="1:23" ht="20.100000000000001" customHeight="1" x14ac:dyDescent="0.25">
      <c r="A170" s="79">
        <v>5</v>
      </c>
      <c r="B170" s="119">
        <f t="shared" si="19"/>
        <v>585.83333333333326</v>
      </c>
      <c r="C170" s="119"/>
      <c r="D170" s="119"/>
      <c r="E170" s="16"/>
      <c r="F170" s="16"/>
      <c r="G170" s="16"/>
      <c r="H170" s="16"/>
      <c r="I170" s="16">
        <f t="shared" si="21"/>
        <v>0.15</v>
      </c>
      <c r="J170" s="16">
        <f t="shared" si="22"/>
        <v>0.1</v>
      </c>
      <c r="K170" s="16">
        <f t="shared" si="23"/>
        <v>0.05</v>
      </c>
      <c r="L170" s="16">
        <f t="shared" si="24"/>
        <v>0.15</v>
      </c>
      <c r="M170" s="16">
        <f t="shared" si="25"/>
        <v>0.1</v>
      </c>
      <c r="N170" s="16">
        <f t="shared" si="26"/>
        <v>0.3</v>
      </c>
      <c r="O170" s="16">
        <f t="shared" si="27"/>
        <v>0.05</v>
      </c>
      <c r="P170" s="127">
        <f t="shared" si="20"/>
        <v>1.9</v>
      </c>
      <c r="Q170" s="127"/>
      <c r="R170" s="127"/>
      <c r="T170" s="102">
        <v>1</v>
      </c>
      <c r="U170" s="105">
        <f t="shared" si="28"/>
        <v>1.9</v>
      </c>
      <c r="V170" s="102">
        <v>1.82</v>
      </c>
      <c r="W170" s="4">
        <v>1</v>
      </c>
    </row>
    <row r="171" spans="1:23" ht="20.100000000000001" customHeight="1" x14ac:dyDescent="0.25">
      <c r="A171" s="79">
        <v>6</v>
      </c>
      <c r="B171" s="119">
        <f t="shared" si="19"/>
        <v>513.00000000000011</v>
      </c>
      <c r="C171" s="119"/>
      <c r="D171" s="119"/>
      <c r="E171" s="16"/>
      <c r="F171" s="16"/>
      <c r="G171" s="16"/>
      <c r="H171" s="16"/>
      <c r="I171" s="16">
        <f t="shared" si="21"/>
        <v>0.15</v>
      </c>
      <c r="J171" s="16">
        <f t="shared" si="22"/>
        <v>0.1</v>
      </c>
      <c r="K171" s="16">
        <f t="shared" si="23"/>
        <v>0.05</v>
      </c>
      <c r="L171" s="16">
        <f t="shared" si="24"/>
        <v>0.15</v>
      </c>
      <c r="M171" s="16">
        <f t="shared" si="25"/>
        <v>0.1</v>
      </c>
      <c r="N171" s="16">
        <f t="shared" si="26"/>
        <v>0.3</v>
      </c>
      <c r="O171" s="16">
        <f t="shared" si="27"/>
        <v>0.05</v>
      </c>
      <c r="P171" s="127">
        <f t="shared" si="20"/>
        <v>1.9</v>
      </c>
      <c r="Q171" s="127"/>
      <c r="R171" s="127"/>
      <c r="T171" s="102">
        <v>1</v>
      </c>
      <c r="U171" s="105">
        <f t="shared" si="28"/>
        <v>1.9</v>
      </c>
      <c r="V171" s="102">
        <v>1.82</v>
      </c>
      <c r="W171" s="4">
        <v>1</v>
      </c>
    </row>
    <row r="172" spans="1:23" ht="20.100000000000001" customHeight="1" x14ac:dyDescent="0.25">
      <c r="A172" s="79">
        <v>7</v>
      </c>
      <c r="B172" s="119">
        <f t="shared" si="19"/>
        <v>427.50000000000006</v>
      </c>
      <c r="C172" s="119"/>
      <c r="D172" s="119"/>
      <c r="E172" s="16"/>
      <c r="F172" s="16"/>
      <c r="G172" s="16"/>
      <c r="H172" s="16"/>
      <c r="I172" s="16">
        <f t="shared" si="21"/>
        <v>0.15</v>
      </c>
      <c r="J172" s="16">
        <f t="shared" si="22"/>
        <v>0.1</v>
      </c>
      <c r="K172" s="16">
        <f t="shared" si="23"/>
        <v>0.05</v>
      </c>
      <c r="L172" s="16">
        <f t="shared" si="24"/>
        <v>0.15</v>
      </c>
      <c r="M172" s="16">
        <f t="shared" si="25"/>
        <v>0.1</v>
      </c>
      <c r="N172" s="16">
        <f t="shared" si="26"/>
        <v>0.3</v>
      </c>
      <c r="O172" s="16">
        <f t="shared" si="27"/>
        <v>0.05</v>
      </c>
      <c r="P172" s="127">
        <f t="shared" si="20"/>
        <v>1.9</v>
      </c>
      <c r="Q172" s="127"/>
      <c r="R172" s="127"/>
      <c r="T172" s="102">
        <v>1</v>
      </c>
      <c r="U172" s="105">
        <f t="shared" si="28"/>
        <v>1.9</v>
      </c>
      <c r="V172" s="102">
        <v>1.82</v>
      </c>
      <c r="W172" s="4">
        <v>1</v>
      </c>
    </row>
    <row r="173" spans="1:23" ht="20.100000000000001" customHeight="1" x14ac:dyDescent="0.25">
      <c r="A173" s="79">
        <v>8</v>
      </c>
      <c r="B173" s="119">
        <f t="shared" si="19"/>
        <v>530.10000000000014</v>
      </c>
      <c r="C173" s="119"/>
      <c r="D173" s="119"/>
      <c r="E173" s="16"/>
      <c r="F173" s="16"/>
      <c r="G173" s="16"/>
      <c r="H173" s="16"/>
      <c r="I173" s="16">
        <f t="shared" si="21"/>
        <v>0.15</v>
      </c>
      <c r="J173" s="16">
        <f t="shared" si="22"/>
        <v>0.1</v>
      </c>
      <c r="K173" s="16">
        <f t="shared" si="23"/>
        <v>0.05</v>
      </c>
      <c r="L173" s="16">
        <f t="shared" si="24"/>
        <v>0.15</v>
      </c>
      <c r="M173" s="16">
        <f t="shared" si="25"/>
        <v>0.1</v>
      </c>
      <c r="N173" s="16">
        <f t="shared" si="26"/>
        <v>0.3</v>
      </c>
      <c r="O173" s="16">
        <f t="shared" si="27"/>
        <v>0.05</v>
      </c>
      <c r="P173" s="127">
        <f t="shared" si="20"/>
        <v>1.9</v>
      </c>
      <c r="Q173" s="127"/>
      <c r="R173" s="127"/>
      <c r="T173" s="102">
        <v>1</v>
      </c>
      <c r="U173" s="105">
        <f t="shared" si="28"/>
        <v>1.9</v>
      </c>
      <c r="V173" s="102">
        <v>1.82</v>
      </c>
      <c r="W173" s="4">
        <v>1</v>
      </c>
    </row>
    <row r="174" spans="1:23" ht="20.100000000000001" customHeight="1" x14ac:dyDescent="0.25">
      <c r="A174" s="79">
        <v>9</v>
      </c>
      <c r="B174" s="119">
        <f t="shared" si="19"/>
        <v>526.68000000000006</v>
      </c>
      <c r="C174" s="119"/>
      <c r="D174" s="119"/>
      <c r="E174" s="16"/>
      <c r="F174" s="16"/>
      <c r="G174" s="16"/>
      <c r="H174" s="16"/>
      <c r="I174" s="16">
        <f t="shared" si="21"/>
        <v>0.15</v>
      </c>
      <c r="J174" s="16">
        <f t="shared" si="22"/>
        <v>0.1</v>
      </c>
      <c r="K174" s="16">
        <f t="shared" si="23"/>
        <v>0.05</v>
      </c>
      <c r="L174" s="16">
        <f t="shared" si="24"/>
        <v>0.15</v>
      </c>
      <c r="M174" s="16">
        <f t="shared" si="25"/>
        <v>0.1</v>
      </c>
      <c r="N174" s="16">
        <f t="shared" si="26"/>
        <v>0.3</v>
      </c>
      <c r="O174" s="16">
        <f t="shared" si="27"/>
        <v>0.05</v>
      </c>
      <c r="P174" s="127">
        <f t="shared" si="20"/>
        <v>1.9</v>
      </c>
      <c r="Q174" s="127"/>
      <c r="R174" s="127"/>
      <c r="T174" s="102">
        <v>1</v>
      </c>
      <c r="U174" s="105">
        <f t="shared" si="28"/>
        <v>1.9</v>
      </c>
      <c r="V174" s="102">
        <v>1.82</v>
      </c>
      <c r="W174" s="4">
        <v>1</v>
      </c>
    </row>
    <row r="175" spans="1:23" ht="20.100000000000001" customHeight="1" x14ac:dyDescent="0.25">
      <c r="A175" s="79">
        <v>10</v>
      </c>
      <c r="B175" s="119">
        <f t="shared" si="19"/>
        <v>538.65000000000009</v>
      </c>
      <c r="C175" s="119"/>
      <c r="D175" s="119"/>
      <c r="E175" s="16"/>
      <c r="F175" s="16"/>
      <c r="G175" s="16"/>
      <c r="H175" s="16"/>
      <c r="I175" s="16">
        <f t="shared" si="21"/>
        <v>0.15</v>
      </c>
      <c r="J175" s="16">
        <f t="shared" si="22"/>
        <v>0.1</v>
      </c>
      <c r="K175" s="16">
        <f t="shared" si="23"/>
        <v>0.05</v>
      </c>
      <c r="L175" s="16">
        <f t="shared" si="24"/>
        <v>0.15</v>
      </c>
      <c r="M175" s="16">
        <f t="shared" si="25"/>
        <v>0.1</v>
      </c>
      <c r="N175" s="16">
        <f t="shared" si="26"/>
        <v>0.3</v>
      </c>
      <c r="O175" s="16">
        <f t="shared" si="27"/>
        <v>0.05</v>
      </c>
      <c r="P175" s="127">
        <f t="shared" si="20"/>
        <v>1.9</v>
      </c>
      <c r="Q175" s="127"/>
      <c r="R175" s="127"/>
      <c r="T175" s="102">
        <v>1</v>
      </c>
      <c r="U175" s="105">
        <f t="shared" si="28"/>
        <v>1.9</v>
      </c>
      <c r="V175" s="102">
        <v>1.82</v>
      </c>
      <c r="W175" s="4">
        <v>1</v>
      </c>
    </row>
    <row r="176" spans="1:23" ht="20.100000000000001" customHeight="1" x14ac:dyDescent="0.25">
      <c r="A176" s="79">
        <v>11</v>
      </c>
      <c r="B176" s="119">
        <f t="shared" si="19"/>
        <v>427.50000000000006</v>
      </c>
      <c r="C176" s="119"/>
      <c r="D176" s="119"/>
      <c r="E176" s="16"/>
      <c r="F176" s="16"/>
      <c r="G176" s="16"/>
      <c r="H176" s="16"/>
      <c r="I176" s="16">
        <f t="shared" si="21"/>
        <v>0.15</v>
      </c>
      <c r="J176" s="16">
        <f t="shared" si="22"/>
        <v>0.1</v>
      </c>
      <c r="K176" s="16">
        <f t="shared" si="23"/>
        <v>0.05</v>
      </c>
      <c r="L176" s="16">
        <f t="shared" si="24"/>
        <v>0.15</v>
      </c>
      <c r="M176" s="16">
        <f t="shared" si="25"/>
        <v>0.1</v>
      </c>
      <c r="N176" s="16">
        <f t="shared" si="26"/>
        <v>0.3</v>
      </c>
      <c r="O176" s="16">
        <f t="shared" si="27"/>
        <v>0.05</v>
      </c>
      <c r="P176" s="127">
        <f t="shared" si="20"/>
        <v>1.9</v>
      </c>
      <c r="Q176" s="127"/>
      <c r="R176" s="127"/>
      <c r="T176" s="102">
        <v>1</v>
      </c>
      <c r="U176" s="105">
        <f t="shared" si="28"/>
        <v>1.9</v>
      </c>
      <c r="V176" s="102">
        <v>1.82</v>
      </c>
      <c r="W176" s="4">
        <v>1</v>
      </c>
    </row>
    <row r="177" spans="1:23" ht="20.100000000000001" customHeight="1" thickBot="1" x14ac:dyDescent="0.3">
      <c r="A177" s="80">
        <v>12</v>
      </c>
      <c r="B177" s="131">
        <f t="shared" si="19"/>
        <v>550.67796610169501</v>
      </c>
      <c r="C177" s="131"/>
      <c r="D177" s="131"/>
      <c r="E177" s="17"/>
      <c r="F177" s="17"/>
      <c r="G177" s="17"/>
      <c r="H177" s="17"/>
      <c r="I177" s="17">
        <f t="shared" si="21"/>
        <v>0.15</v>
      </c>
      <c r="J177" s="17">
        <f t="shared" si="22"/>
        <v>0.1</v>
      </c>
      <c r="K177" s="17">
        <f t="shared" si="23"/>
        <v>0.05</v>
      </c>
      <c r="L177" s="17">
        <f t="shared" si="24"/>
        <v>0.15</v>
      </c>
      <c r="M177" s="17">
        <f t="shared" si="25"/>
        <v>0.1</v>
      </c>
      <c r="N177" s="17">
        <f t="shared" si="26"/>
        <v>0.3</v>
      </c>
      <c r="O177" s="17">
        <f t="shared" si="27"/>
        <v>0.05</v>
      </c>
      <c r="P177" s="124">
        <f t="shared" si="20"/>
        <v>1.9</v>
      </c>
      <c r="Q177" s="124"/>
      <c r="R177" s="124"/>
      <c r="T177" s="102">
        <v>1</v>
      </c>
      <c r="U177" s="105">
        <f t="shared" si="28"/>
        <v>1.9</v>
      </c>
      <c r="V177" s="102">
        <v>1.82</v>
      </c>
      <c r="W177" s="4">
        <v>1</v>
      </c>
    </row>
    <row r="178" spans="1:23" ht="20.100000000000001" customHeight="1" x14ac:dyDescent="0.25">
      <c r="T178" s="102"/>
      <c r="U178" s="102"/>
    </row>
    <row r="179" spans="1:23" ht="20.100000000000001" customHeight="1" x14ac:dyDescent="0.25">
      <c r="T179" s="102"/>
      <c r="U179" s="102"/>
    </row>
    <row r="180" spans="1:23" ht="20.100000000000001" customHeight="1" x14ac:dyDescent="0.25">
      <c r="T180" s="102"/>
      <c r="U180" s="102" t="s">
        <v>479</v>
      </c>
    </row>
    <row r="181" spans="1:23" ht="20.100000000000001" customHeight="1" x14ac:dyDescent="0.25">
      <c r="T181" s="102"/>
      <c r="U181" s="105">
        <f>H197</f>
        <v>1.9</v>
      </c>
    </row>
    <row r="182" spans="1:23" ht="20.100000000000001" customHeight="1" x14ac:dyDescent="0.25">
      <c r="T182" s="102"/>
      <c r="U182" s="105">
        <f t="shared" ref="U182:U192" si="29">H198</f>
        <v>1.9</v>
      </c>
    </row>
    <row r="183" spans="1:23" ht="20.100000000000001" customHeight="1" x14ac:dyDescent="0.25">
      <c r="T183" s="102"/>
      <c r="U183" s="105">
        <f t="shared" si="29"/>
        <v>1.9</v>
      </c>
    </row>
    <row r="184" spans="1:23" ht="20.100000000000001" customHeight="1" x14ac:dyDescent="0.25">
      <c r="T184" s="102"/>
      <c r="U184" s="105">
        <f t="shared" si="29"/>
        <v>1.9</v>
      </c>
    </row>
    <row r="185" spans="1:23" ht="20.100000000000001" customHeight="1" x14ac:dyDescent="0.25">
      <c r="T185" s="102"/>
      <c r="U185" s="105">
        <f t="shared" si="29"/>
        <v>1.9</v>
      </c>
    </row>
    <row r="186" spans="1:23" ht="20.100000000000001" customHeight="1" x14ac:dyDescent="0.25">
      <c r="T186" s="102"/>
      <c r="U186" s="105">
        <f t="shared" si="29"/>
        <v>1.9</v>
      </c>
    </row>
    <row r="187" spans="1:23" ht="20.100000000000001" customHeight="1" x14ac:dyDescent="0.25">
      <c r="T187" s="102"/>
      <c r="U187" s="105">
        <f t="shared" si="29"/>
        <v>1.9</v>
      </c>
    </row>
    <row r="188" spans="1:23" ht="20.100000000000001" customHeight="1" x14ac:dyDescent="0.25">
      <c r="T188" s="102"/>
      <c r="U188" s="105">
        <f t="shared" si="29"/>
        <v>1.9</v>
      </c>
    </row>
    <row r="189" spans="1:23" ht="20.100000000000001" customHeight="1" x14ac:dyDescent="0.25">
      <c r="T189" s="102"/>
      <c r="U189" s="105">
        <f t="shared" si="29"/>
        <v>1.9</v>
      </c>
    </row>
    <row r="190" spans="1:23" ht="20.100000000000001" customHeight="1" x14ac:dyDescent="0.25">
      <c r="T190" s="102"/>
      <c r="U190" s="105">
        <f t="shared" si="29"/>
        <v>1.9</v>
      </c>
    </row>
    <row r="191" spans="1:23" ht="20.100000000000001" customHeight="1" x14ac:dyDescent="0.25">
      <c r="T191" s="102"/>
      <c r="U191" s="105">
        <f t="shared" si="29"/>
        <v>1.9</v>
      </c>
    </row>
    <row r="192" spans="1:23" ht="20.100000000000001" customHeight="1" x14ac:dyDescent="0.25">
      <c r="T192" s="102"/>
      <c r="U192" s="105">
        <f t="shared" si="29"/>
        <v>1.9</v>
      </c>
    </row>
    <row r="193" spans="1:21" ht="20.100000000000001" customHeight="1" x14ac:dyDescent="0.25">
      <c r="T193" s="102"/>
      <c r="U193" s="102"/>
    </row>
    <row r="194" spans="1:21" ht="20.100000000000001" customHeight="1" x14ac:dyDescent="0.25">
      <c r="T194" s="102"/>
      <c r="U194" s="102"/>
    </row>
    <row r="196" spans="1:21" ht="39.950000000000003" customHeight="1" x14ac:dyDescent="0.25">
      <c r="A196" s="5" t="s">
        <v>17</v>
      </c>
      <c r="B196" s="125" t="str">
        <f t="shared" ref="B196:B208" si="30">B165</f>
        <v>Valor unitário homogeneizado</v>
      </c>
      <c r="C196" s="125"/>
      <c r="D196" s="125"/>
      <c r="E196" s="125" t="s">
        <v>106</v>
      </c>
      <c r="F196" s="125"/>
      <c r="G196" s="125"/>
      <c r="H196" s="125" t="s">
        <v>107</v>
      </c>
      <c r="I196" s="125"/>
      <c r="J196" s="125"/>
      <c r="K196" s="125" t="s">
        <v>23</v>
      </c>
      <c r="L196" s="125"/>
      <c r="M196" s="125"/>
      <c r="N196" s="125" t="s">
        <v>42</v>
      </c>
      <c r="O196" s="125"/>
      <c r="P196" s="125"/>
      <c r="Q196" s="125"/>
      <c r="R196" s="125"/>
    </row>
    <row r="197" spans="1:21" ht="20.100000000000001" customHeight="1" x14ac:dyDescent="0.25">
      <c r="A197" s="79">
        <v>1</v>
      </c>
      <c r="B197" s="187">
        <f t="shared" si="30"/>
        <v>475.00000000000011</v>
      </c>
      <c r="C197" s="187"/>
      <c r="D197" s="187"/>
      <c r="E197" s="189">
        <f t="shared" ref="E197:E208" si="31">P166</f>
        <v>1.9</v>
      </c>
      <c r="F197" s="189"/>
      <c r="G197" s="189"/>
      <c r="H197" s="189">
        <f>$P$159</f>
        <v>1.9</v>
      </c>
      <c r="I197" s="189"/>
      <c r="J197" s="189"/>
      <c r="K197" s="189">
        <f>H197/E197</f>
        <v>1</v>
      </c>
      <c r="L197" s="189"/>
      <c r="M197" s="189"/>
      <c r="N197" s="187">
        <f t="shared" ref="N197:N208" si="32">B197*K197</f>
        <v>475.00000000000011</v>
      </c>
      <c r="O197" s="187"/>
      <c r="P197" s="187"/>
      <c r="Q197" s="187"/>
      <c r="R197" s="187"/>
    </row>
    <row r="198" spans="1:21" ht="20.100000000000001" customHeight="1" x14ac:dyDescent="0.25">
      <c r="A198" s="79">
        <v>2</v>
      </c>
      <c r="B198" s="119">
        <f t="shared" si="30"/>
        <v>480.93750000000011</v>
      </c>
      <c r="C198" s="119"/>
      <c r="D198" s="119"/>
      <c r="E198" s="118">
        <f t="shared" si="31"/>
        <v>1.9</v>
      </c>
      <c r="F198" s="118"/>
      <c r="G198" s="118"/>
      <c r="H198" s="118">
        <f t="shared" ref="H198:H208" si="33">$P$159</f>
        <v>1.9</v>
      </c>
      <c r="I198" s="118"/>
      <c r="J198" s="118"/>
      <c r="K198" s="118">
        <f t="shared" ref="K198:K199" si="34">H198/E198</f>
        <v>1</v>
      </c>
      <c r="L198" s="118"/>
      <c r="M198" s="118"/>
      <c r="N198" s="119">
        <f t="shared" ref="N198" si="35">B198*K198</f>
        <v>480.93750000000011</v>
      </c>
      <c r="O198" s="119"/>
      <c r="P198" s="119"/>
      <c r="Q198" s="119"/>
      <c r="R198" s="119"/>
    </row>
    <row r="199" spans="1:21" ht="20.100000000000001" customHeight="1" x14ac:dyDescent="0.25">
      <c r="A199" s="79">
        <v>3</v>
      </c>
      <c r="B199" s="119">
        <f t="shared" si="30"/>
        <v>527.25000000000011</v>
      </c>
      <c r="C199" s="119"/>
      <c r="D199" s="119"/>
      <c r="E199" s="118">
        <f t="shared" si="31"/>
        <v>1.9</v>
      </c>
      <c r="F199" s="118"/>
      <c r="G199" s="118"/>
      <c r="H199" s="118">
        <f t="shared" si="33"/>
        <v>1.9</v>
      </c>
      <c r="I199" s="118"/>
      <c r="J199" s="118"/>
      <c r="K199" s="118">
        <f t="shared" si="34"/>
        <v>1</v>
      </c>
      <c r="L199" s="118"/>
      <c r="M199" s="118"/>
      <c r="N199" s="119">
        <f t="shared" ref="N199" si="36">B199*K199</f>
        <v>527.25000000000011</v>
      </c>
      <c r="O199" s="119"/>
      <c r="P199" s="119"/>
      <c r="Q199" s="119"/>
      <c r="R199" s="119"/>
    </row>
    <row r="200" spans="1:21" ht="20.100000000000001" customHeight="1" x14ac:dyDescent="0.25">
      <c r="A200" s="79">
        <v>4</v>
      </c>
      <c r="B200" s="119">
        <f t="shared" si="30"/>
        <v>541.50000000000011</v>
      </c>
      <c r="C200" s="119"/>
      <c r="D200" s="119"/>
      <c r="E200" s="118">
        <f t="shared" si="31"/>
        <v>1.9</v>
      </c>
      <c r="F200" s="118"/>
      <c r="G200" s="118"/>
      <c r="H200" s="118">
        <f t="shared" si="33"/>
        <v>1.9</v>
      </c>
      <c r="I200" s="118"/>
      <c r="J200" s="118"/>
      <c r="K200" s="118">
        <f t="shared" ref="K200:K208" si="37">H200/E200</f>
        <v>1</v>
      </c>
      <c r="L200" s="118"/>
      <c r="M200" s="118"/>
      <c r="N200" s="119">
        <f t="shared" si="32"/>
        <v>541.50000000000011</v>
      </c>
      <c r="O200" s="119"/>
      <c r="P200" s="119"/>
      <c r="Q200" s="119"/>
      <c r="R200" s="119"/>
    </row>
    <row r="201" spans="1:21" ht="20.100000000000001" customHeight="1" x14ac:dyDescent="0.25">
      <c r="A201" s="79">
        <v>5</v>
      </c>
      <c r="B201" s="119">
        <f t="shared" si="30"/>
        <v>585.83333333333326</v>
      </c>
      <c r="C201" s="119"/>
      <c r="D201" s="119"/>
      <c r="E201" s="118">
        <f t="shared" si="31"/>
        <v>1.9</v>
      </c>
      <c r="F201" s="118"/>
      <c r="G201" s="118"/>
      <c r="H201" s="118">
        <f t="shared" si="33"/>
        <v>1.9</v>
      </c>
      <c r="I201" s="118"/>
      <c r="J201" s="118"/>
      <c r="K201" s="118">
        <f t="shared" ref="K201:K207" si="38">H201/E201</f>
        <v>1</v>
      </c>
      <c r="L201" s="118"/>
      <c r="M201" s="118"/>
      <c r="N201" s="119">
        <f t="shared" ref="N201:N207" si="39">B201*K201</f>
        <v>585.83333333333326</v>
      </c>
      <c r="O201" s="119"/>
      <c r="P201" s="119"/>
      <c r="Q201" s="119"/>
      <c r="R201" s="119"/>
    </row>
    <row r="202" spans="1:21" ht="20.100000000000001" customHeight="1" x14ac:dyDescent="0.25">
      <c r="A202" s="79">
        <v>6</v>
      </c>
      <c r="B202" s="119">
        <f t="shared" si="30"/>
        <v>513.00000000000011</v>
      </c>
      <c r="C202" s="119"/>
      <c r="D202" s="119"/>
      <c r="E202" s="118">
        <f t="shared" si="31"/>
        <v>1.9</v>
      </c>
      <c r="F202" s="118"/>
      <c r="G202" s="118"/>
      <c r="H202" s="118">
        <f t="shared" si="33"/>
        <v>1.9</v>
      </c>
      <c r="I202" s="118"/>
      <c r="J202" s="118"/>
      <c r="K202" s="118">
        <f t="shared" si="38"/>
        <v>1</v>
      </c>
      <c r="L202" s="118"/>
      <c r="M202" s="118"/>
      <c r="N202" s="119">
        <f t="shared" si="39"/>
        <v>513.00000000000011</v>
      </c>
      <c r="O202" s="119"/>
      <c r="P202" s="119"/>
      <c r="Q202" s="119"/>
      <c r="R202" s="119"/>
    </row>
    <row r="203" spans="1:21" ht="20.100000000000001" customHeight="1" x14ac:dyDescent="0.25">
      <c r="A203" s="79">
        <v>7</v>
      </c>
      <c r="B203" s="119">
        <f t="shared" si="30"/>
        <v>427.50000000000006</v>
      </c>
      <c r="C203" s="119"/>
      <c r="D203" s="119"/>
      <c r="E203" s="118">
        <f t="shared" si="31"/>
        <v>1.9</v>
      </c>
      <c r="F203" s="118"/>
      <c r="G203" s="118"/>
      <c r="H203" s="118">
        <f t="shared" si="33"/>
        <v>1.9</v>
      </c>
      <c r="I203" s="118"/>
      <c r="J203" s="118"/>
      <c r="K203" s="118">
        <f t="shared" si="38"/>
        <v>1</v>
      </c>
      <c r="L203" s="118"/>
      <c r="M203" s="118"/>
      <c r="N203" s="119">
        <f t="shared" si="39"/>
        <v>427.50000000000006</v>
      </c>
      <c r="O203" s="119"/>
      <c r="P203" s="119"/>
      <c r="Q203" s="119"/>
      <c r="R203" s="119"/>
    </row>
    <row r="204" spans="1:21" ht="20.100000000000001" customHeight="1" x14ac:dyDescent="0.25">
      <c r="A204" s="79">
        <v>8</v>
      </c>
      <c r="B204" s="119">
        <f t="shared" si="30"/>
        <v>530.10000000000014</v>
      </c>
      <c r="C204" s="119"/>
      <c r="D204" s="119"/>
      <c r="E204" s="118">
        <f t="shared" si="31"/>
        <v>1.9</v>
      </c>
      <c r="F204" s="118"/>
      <c r="G204" s="118"/>
      <c r="H204" s="118">
        <f t="shared" si="33"/>
        <v>1.9</v>
      </c>
      <c r="I204" s="118"/>
      <c r="J204" s="118"/>
      <c r="K204" s="118">
        <f t="shared" si="38"/>
        <v>1</v>
      </c>
      <c r="L204" s="118"/>
      <c r="M204" s="118"/>
      <c r="N204" s="119">
        <f t="shared" si="39"/>
        <v>530.10000000000014</v>
      </c>
      <c r="O204" s="119"/>
      <c r="P204" s="119"/>
      <c r="Q204" s="119"/>
      <c r="R204" s="119"/>
    </row>
    <row r="205" spans="1:21" ht="20.100000000000001" customHeight="1" x14ac:dyDescent="0.25">
      <c r="A205" s="79">
        <v>9</v>
      </c>
      <c r="B205" s="119">
        <f t="shared" si="30"/>
        <v>526.68000000000006</v>
      </c>
      <c r="C205" s="119"/>
      <c r="D205" s="119"/>
      <c r="E205" s="118">
        <f t="shared" si="31"/>
        <v>1.9</v>
      </c>
      <c r="F205" s="118"/>
      <c r="G205" s="118"/>
      <c r="H205" s="118">
        <f t="shared" si="33"/>
        <v>1.9</v>
      </c>
      <c r="I205" s="118"/>
      <c r="J205" s="118"/>
      <c r="K205" s="118">
        <f t="shared" si="38"/>
        <v>1</v>
      </c>
      <c r="L205" s="118"/>
      <c r="M205" s="118"/>
      <c r="N205" s="119">
        <f t="shared" si="39"/>
        <v>526.68000000000006</v>
      </c>
      <c r="O205" s="119"/>
      <c r="P205" s="119"/>
      <c r="Q205" s="119"/>
      <c r="R205" s="119"/>
    </row>
    <row r="206" spans="1:21" ht="20.100000000000001" customHeight="1" x14ac:dyDescent="0.25">
      <c r="A206" s="79">
        <v>10</v>
      </c>
      <c r="B206" s="119">
        <f t="shared" si="30"/>
        <v>538.65000000000009</v>
      </c>
      <c r="C206" s="119"/>
      <c r="D206" s="119"/>
      <c r="E206" s="118">
        <f t="shared" si="31"/>
        <v>1.9</v>
      </c>
      <c r="F206" s="118"/>
      <c r="G206" s="118"/>
      <c r="H206" s="118">
        <f t="shared" si="33"/>
        <v>1.9</v>
      </c>
      <c r="I206" s="118"/>
      <c r="J206" s="118"/>
      <c r="K206" s="118">
        <f t="shared" si="38"/>
        <v>1</v>
      </c>
      <c r="L206" s="118"/>
      <c r="M206" s="118"/>
      <c r="N206" s="119">
        <f t="shared" si="39"/>
        <v>538.65000000000009</v>
      </c>
      <c r="O206" s="119"/>
      <c r="P206" s="119"/>
      <c r="Q206" s="119"/>
      <c r="R206" s="119"/>
    </row>
    <row r="207" spans="1:21" ht="20.100000000000001" customHeight="1" x14ac:dyDescent="0.25">
      <c r="A207" s="79">
        <v>11</v>
      </c>
      <c r="B207" s="119">
        <f t="shared" si="30"/>
        <v>427.50000000000006</v>
      </c>
      <c r="C207" s="119"/>
      <c r="D207" s="119"/>
      <c r="E207" s="118">
        <f t="shared" si="31"/>
        <v>1.9</v>
      </c>
      <c r="F207" s="118"/>
      <c r="G207" s="118"/>
      <c r="H207" s="118">
        <f t="shared" si="33"/>
        <v>1.9</v>
      </c>
      <c r="I207" s="118"/>
      <c r="J207" s="118"/>
      <c r="K207" s="118">
        <f t="shared" si="38"/>
        <v>1</v>
      </c>
      <c r="L207" s="118"/>
      <c r="M207" s="118"/>
      <c r="N207" s="119">
        <f t="shared" si="39"/>
        <v>427.50000000000006</v>
      </c>
      <c r="O207" s="119"/>
      <c r="P207" s="119"/>
      <c r="Q207" s="119"/>
      <c r="R207" s="119"/>
    </row>
    <row r="208" spans="1:21" ht="20.100000000000001" customHeight="1" thickBot="1" x14ac:dyDescent="0.3">
      <c r="A208" s="80">
        <v>12</v>
      </c>
      <c r="B208" s="131">
        <f t="shared" si="30"/>
        <v>550.67796610169501</v>
      </c>
      <c r="C208" s="131"/>
      <c r="D208" s="131"/>
      <c r="E208" s="110">
        <f t="shared" si="31"/>
        <v>1.9</v>
      </c>
      <c r="F208" s="110"/>
      <c r="G208" s="110"/>
      <c r="H208" s="110">
        <f t="shared" si="33"/>
        <v>1.9</v>
      </c>
      <c r="I208" s="110"/>
      <c r="J208" s="110"/>
      <c r="K208" s="110">
        <f t="shared" si="37"/>
        <v>1</v>
      </c>
      <c r="L208" s="110"/>
      <c r="M208" s="110"/>
      <c r="N208" s="131">
        <f t="shared" si="32"/>
        <v>550.67796610169501</v>
      </c>
      <c r="O208" s="131"/>
      <c r="P208" s="131"/>
      <c r="Q208" s="131"/>
      <c r="R208" s="131"/>
    </row>
    <row r="210" spans="12:18" ht="20.100000000000001" customHeight="1" x14ac:dyDescent="0.25">
      <c r="L210" s="109" t="s">
        <v>36</v>
      </c>
      <c r="M210" s="109"/>
      <c r="N210" s="109"/>
      <c r="O210" s="109"/>
      <c r="P210" s="111">
        <f>AVERAGE(N197:R208)</f>
        <v>510.38573328625245</v>
      </c>
      <c r="Q210" s="111"/>
      <c r="R210" s="111"/>
    </row>
    <row r="211" spans="12:18" ht="20.100000000000001" customHeight="1" x14ac:dyDescent="0.25">
      <c r="L211" s="129" t="s">
        <v>37</v>
      </c>
      <c r="M211" s="129"/>
      <c r="N211" s="129"/>
      <c r="O211" s="129"/>
      <c r="P211" s="111">
        <f>STDEVA(N197:R208)</f>
        <v>48.512043673192963</v>
      </c>
      <c r="Q211" s="111"/>
      <c r="R211" s="111"/>
    </row>
    <row r="212" spans="12:18" ht="20.100000000000001" customHeight="1" x14ac:dyDescent="0.25">
      <c r="L212" s="120" t="s">
        <v>35</v>
      </c>
      <c r="M212" s="120"/>
      <c r="N212" s="120"/>
      <c r="O212" s="120"/>
      <c r="P212" s="132">
        <f>P211/P210</f>
        <v>9.5049764343598409E-2</v>
      </c>
      <c r="Q212" s="132"/>
      <c r="R212" s="132"/>
    </row>
    <row r="231" spans="1:25" ht="20.100000000000001" customHeight="1" x14ac:dyDescent="0.25">
      <c r="A231" s="117" t="s">
        <v>49</v>
      </c>
      <c r="B231" s="117"/>
      <c r="C231" s="117"/>
      <c r="D231" s="117"/>
      <c r="E231" s="117"/>
      <c r="F231" s="117"/>
      <c r="G231" s="117"/>
      <c r="H231" s="117"/>
      <c r="I231" s="117"/>
      <c r="J231" s="117"/>
      <c r="K231" s="117"/>
      <c r="L231" s="117"/>
      <c r="M231" s="117"/>
      <c r="N231" s="117"/>
      <c r="O231" s="117"/>
      <c r="P231" s="117"/>
      <c r="Q231" s="117"/>
      <c r="R231" s="117"/>
    </row>
    <row r="233" spans="1:25" ht="20.100000000000001" customHeight="1" x14ac:dyDescent="0.25">
      <c r="A233" s="5" t="s">
        <v>17</v>
      </c>
      <c r="B233" s="125" t="s">
        <v>32</v>
      </c>
      <c r="C233" s="125"/>
      <c r="D233" s="125"/>
      <c r="E233" s="125"/>
      <c r="F233" s="125"/>
      <c r="L233" s="109" t="s">
        <v>43</v>
      </c>
      <c r="M233" s="109"/>
      <c r="N233" s="109"/>
      <c r="O233" s="109"/>
      <c r="P233" s="109"/>
      <c r="Q233" s="191">
        <v>0.3</v>
      </c>
      <c r="R233" s="191"/>
    </row>
    <row r="234" spans="1:25" ht="20.100000000000001" customHeight="1" x14ac:dyDescent="0.25">
      <c r="A234" s="79">
        <v>1</v>
      </c>
      <c r="B234" s="115">
        <f t="shared" ref="B234:B245" si="40">N197</f>
        <v>475.00000000000011</v>
      </c>
      <c r="C234" s="115"/>
      <c r="D234" s="115"/>
      <c r="E234" s="115"/>
      <c r="F234" s="115"/>
      <c r="G234" s="4">
        <f>A234</f>
        <v>1</v>
      </c>
      <c r="X234" s="4" t="e">
        <f>VLOOKUP(P241,B234:G245,6,0)</f>
        <v>#N/A</v>
      </c>
    </row>
    <row r="235" spans="1:25" ht="20.100000000000001" customHeight="1" x14ac:dyDescent="0.25">
      <c r="A235" s="79">
        <v>2</v>
      </c>
      <c r="B235" s="112">
        <f t="shared" si="40"/>
        <v>480.93750000000011</v>
      </c>
      <c r="C235" s="112"/>
      <c r="D235" s="112"/>
      <c r="E235" s="112"/>
      <c r="F235" s="112"/>
      <c r="G235" s="4">
        <f t="shared" ref="G235:G245" si="41">A235</f>
        <v>2</v>
      </c>
      <c r="L235" s="109" t="s">
        <v>36</v>
      </c>
      <c r="M235" s="109"/>
      <c r="N235" s="109"/>
      <c r="O235" s="109"/>
      <c r="P235" s="111">
        <f>AVERAGE(B234:B245)</f>
        <v>510.38573328625245</v>
      </c>
      <c r="Q235" s="111"/>
      <c r="R235" s="111"/>
    </row>
    <row r="236" spans="1:25" ht="20.100000000000001" customHeight="1" x14ac:dyDescent="0.25">
      <c r="A236" s="79">
        <v>3</v>
      </c>
      <c r="B236" s="112">
        <f t="shared" si="40"/>
        <v>527.25000000000011</v>
      </c>
      <c r="C236" s="112"/>
      <c r="D236" s="112"/>
      <c r="E236" s="112"/>
      <c r="F236" s="112"/>
      <c r="G236" s="4">
        <f t="shared" si="41"/>
        <v>3</v>
      </c>
      <c r="L236" s="109" t="s">
        <v>45</v>
      </c>
      <c r="M236" s="109"/>
      <c r="N236" s="109"/>
      <c r="O236" s="109"/>
      <c r="P236" s="111">
        <f>P235*(1+Q233)</f>
        <v>663.50145327212817</v>
      </c>
      <c r="Q236" s="111"/>
      <c r="R236" s="111"/>
    </row>
    <row r="237" spans="1:25" ht="20.100000000000001" customHeight="1" x14ac:dyDescent="0.25">
      <c r="A237" s="79">
        <v>4</v>
      </c>
      <c r="B237" s="112">
        <f t="shared" si="40"/>
        <v>541.50000000000011</v>
      </c>
      <c r="C237" s="112"/>
      <c r="D237" s="112"/>
      <c r="E237" s="112"/>
      <c r="F237" s="112"/>
      <c r="G237" s="4">
        <f t="shared" si="41"/>
        <v>4</v>
      </c>
      <c r="L237" s="109" t="s">
        <v>44</v>
      </c>
      <c r="M237" s="109"/>
      <c r="N237" s="109"/>
      <c r="O237" s="109"/>
      <c r="P237" s="111">
        <f>P235*(1-Q233)</f>
        <v>357.27001330037672</v>
      </c>
      <c r="Q237" s="111"/>
      <c r="R237" s="111"/>
    </row>
    <row r="238" spans="1:25" ht="20.100000000000001" customHeight="1" x14ac:dyDescent="0.25">
      <c r="A238" s="79">
        <v>5</v>
      </c>
      <c r="B238" s="112">
        <f t="shared" si="40"/>
        <v>585.83333333333326</v>
      </c>
      <c r="C238" s="112"/>
      <c r="D238" s="112"/>
      <c r="E238" s="112"/>
      <c r="F238" s="112"/>
      <c r="G238" s="4">
        <f t="shared" si="41"/>
        <v>5</v>
      </c>
      <c r="L238" s="109" t="s">
        <v>47</v>
      </c>
      <c r="M238" s="109"/>
      <c r="N238" s="109"/>
      <c r="O238" s="109"/>
      <c r="P238" s="111">
        <f>MAX(B234:B245)</f>
        <v>585.83333333333326</v>
      </c>
      <c r="Q238" s="111"/>
      <c r="R238" s="111"/>
    </row>
    <row r="239" spans="1:25" ht="20.100000000000001" customHeight="1" x14ac:dyDescent="0.25">
      <c r="A239" s="79">
        <v>6</v>
      </c>
      <c r="B239" s="112">
        <f t="shared" si="40"/>
        <v>513.00000000000011</v>
      </c>
      <c r="C239" s="112"/>
      <c r="D239" s="112"/>
      <c r="E239" s="112"/>
      <c r="F239" s="112"/>
      <c r="G239" s="4">
        <f t="shared" si="41"/>
        <v>6</v>
      </c>
      <c r="L239" s="109" t="s">
        <v>46</v>
      </c>
      <c r="M239" s="109"/>
      <c r="N239" s="109"/>
      <c r="O239" s="109"/>
      <c r="P239" s="111">
        <f>MIN(B234:B245)</f>
        <v>427.50000000000006</v>
      </c>
      <c r="Q239" s="111"/>
      <c r="R239" s="111"/>
    </row>
    <row r="240" spans="1:25" ht="20.100000000000001" customHeight="1" x14ac:dyDescent="0.25">
      <c r="A240" s="79">
        <v>7</v>
      </c>
      <c r="B240" s="112">
        <f t="shared" si="40"/>
        <v>427.50000000000006</v>
      </c>
      <c r="C240" s="112"/>
      <c r="D240" s="112"/>
      <c r="E240" s="112"/>
      <c r="F240" s="112"/>
      <c r="G240" s="4">
        <f t="shared" si="41"/>
        <v>7</v>
      </c>
      <c r="L240" s="129"/>
      <c r="M240" s="129"/>
      <c r="N240" s="129"/>
      <c r="O240" s="129"/>
      <c r="P240" s="187"/>
      <c r="Q240" s="187"/>
      <c r="R240" s="187"/>
      <c r="W240" s="4" t="s">
        <v>44</v>
      </c>
      <c r="X240" s="4" t="s">
        <v>45</v>
      </c>
      <c r="Y240" s="4" t="s">
        <v>36</v>
      </c>
    </row>
    <row r="241" spans="1:25" ht="20.100000000000001" customHeight="1" x14ac:dyDescent="0.25">
      <c r="A241" s="79">
        <v>8</v>
      </c>
      <c r="B241" s="112">
        <f t="shared" si="40"/>
        <v>530.10000000000014</v>
      </c>
      <c r="C241" s="112"/>
      <c r="D241" s="112"/>
      <c r="E241" s="112"/>
      <c r="F241" s="112"/>
      <c r="G241" s="4">
        <f t="shared" si="41"/>
        <v>8</v>
      </c>
      <c r="L241" s="109" t="s">
        <v>51</v>
      </c>
      <c r="M241" s="109"/>
      <c r="N241" s="109" t="str">
        <f>IF(P241="Nada a excluir","",X234)</f>
        <v/>
      </c>
      <c r="O241" s="109"/>
      <c r="P241" s="111" t="str" cm="1">
        <f t="array" ref="P241">_xlfn.IFS(AND(OR(P238&gt;P236,P239&lt;P237),(P238-P235)&gt;(P235-P239)),P238,AND(OR(P239&lt;P237,P238&gt;P236),(P235-P239)&gt;(P238-P235)),P239,AND(P238&lt;=P236,P239&gt;=P237),"Nada a excluir")</f>
        <v>Nada a excluir</v>
      </c>
      <c r="Q241" s="111"/>
      <c r="R241" s="111"/>
      <c r="W241" s="82">
        <f>$P$237</f>
        <v>357.27001330037672</v>
      </c>
      <c r="X241" s="82">
        <f>$P$236</f>
        <v>663.50145327212817</v>
      </c>
      <c r="Y241" s="82">
        <f>$P$235</f>
        <v>510.38573328625245</v>
      </c>
    </row>
    <row r="242" spans="1:25" ht="20.100000000000001" customHeight="1" x14ac:dyDescent="0.25">
      <c r="A242" s="79">
        <v>9</v>
      </c>
      <c r="B242" s="112">
        <f t="shared" si="40"/>
        <v>526.68000000000006</v>
      </c>
      <c r="C242" s="112"/>
      <c r="D242" s="112"/>
      <c r="E242" s="112"/>
      <c r="F242" s="112"/>
      <c r="G242" s="4">
        <f t="shared" si="41"/>
        <v>9</v>
      </c>
      <c r="L242" s="120" t="s">
        <v>50</v>
      </c>
      <c r="M242" s="120"/>
      <c r="N242" s="120"/>
      <c r="O242" s="120"/>
      <c r="P242" s="153" t="str">
        <f>IF(P241="Nada a excluir","Encerrar","Continuar")</f>
        <v>Encerrar</v>
      </c>
      <c r="Q242" s="153"/>
      <c r="R242" s="153"/>
      <c r="W242" s="82">
        <f>$P$237</f>
        <v>357.27001330037672</v>
      </c>
      <c r="X242" s="82">
        <f>$P$236</f>
        <v>663.50145327212817</v>
      </c>
      <c r="Y242" s="82">
        <f>$P$235</f>
        <v>510.38573328625245</v>
      </c>
    </row>
    <row r="243" spans="1:25" ht="20.100000000000001" customHeight="1" x14ac:dyDescent="0.25">
      <c r="A243" s="79">
        <v>10</v>
      </c>
      <c r="B243" s="112">
        <f t="shared" si="40"/>
        <v>538.65000000000009</v>
      </c>
      <c r="C243" s="112"/>
      <c r="D243" s="112"/>
      <c r="E243" s="112"/>
      <c r="F243" s="112"/>
      <c r="G243" s="4">
        <f t="shared" si="41"/>
        <v>10</v>
      </c>
      <c r="W243" s="82">
        <f>$P$237</f>
        <v>357.27001330037672</v>
      </c>
      <c r="X243" s="82">
        <f>$P$236</f>
        <v>663.50145327212817</v>
      </c>
      <c r="Y243" s="82">
        <f>$P$235</f>
        <v>510.38573328625245</v>
      </c>
    </row>
    <row r="244" spans="1:25" ht="20.100000000000001" customHeight="1" x14ac:dyDescent="0.25">
      <c r="A244" s="79">
        <v>11</v>
      </c>
      <c r="B244" s="112">
        <f t="shared" si="40"/>
        <v>427.50000000000006</v>
      </c>
      <c r="C244" s="112"/>
      <c r="D244" s="112"/>
      <c r="E244" s="112"/>
      <c r="F244" s="112"/>
      <c r="G244" s="4">
        <f t="shared" si="41"/>
        <v>11</v>
      </c>
      <c r="L244" s="109" t="s">
        <v>48</v>
      </c>
      <c r="M244" s="109"/>
      <c r="N244" s="109"/>
      <c r="O244" s="109"/>
      <c r="P244" s="168">
        <f>STDEVA(B234:B245)</f>
        <v>48.512043673192963</v>
      </c>
      <c r="Q244" s="174"/>
      <c r="R244" s="174"/>
      <c r="W244" s="82">
        <f>$P$237</f>
        <v>357.27001330037672</v>
      </c>
      <c r="X244" s="82">
        <f>$P$236</f>
        <v>663.50145327212817</v>
      </c>
      <c r="Y244" s="82">
        <f>$P$235</f>
        <v>510.38573328625245</v>
      </c>
    </row>
    <row r="245" spans="1:25" ht="20.100000000000001" customHeight="1" x14ac:dyDescent="0.25">
      <c r="A245" s="79">
        <v>12</v>
      </c>
      <c r="B245" s="112">
        <f t="shared" si="40"/>
        <v>550.67796610169501</v>
      </c>
      <c r="C245" s="112"/>
      <c r="D245" s="112"/>
      <c r="E245" s="112"/>
      <c r="F245" s="112"/>
      <c r="G245" s="4">
        <f t="shared" si="41"/>
        <v>12</v>
      </c>
      <c r="L245" s="120" t="s">
        <v>35</v>
      </c>
      <c r="M245" s="120"/>
      <c r="N245" s="120"/>
      <c r="O245" s="120"/>
      <c r="P245" s="152">
        <f>P244/P235</f>
        <v>9.5049764343598409E-2</v>
      </c>
      <c r="Q245" s="152"/>
      <c r="R245" s="152"/>
      <c r="W245" s="82">
        <f>$P$237</f>
        <v>357.27001330037672</v>
      </c>
      <c r="X245" s="82">
        <f>$P$236</f>
        <v>663.50145327212817</v>
      </c>
      <c r="Y245" s="82">
        <f>$P$235</f>
        <v>510.38573328625245</v>
      </c>
    </row>
    <row r="246" spans="1:25" ht="20.100000000000001" customHeight="1" x14ac:dyDescent="0.25">
      <c r="W246" s="82">
        <f t="shared" ref="W246:W252" si="42">$P$237</f>
        <v>357.27001330037672</v>
      </c>
      <c r="X246" s="82">
        <f t="shared" ref="X246:X252" si="43">$P$236</f>
        <v>663.50145327212817</v>
      </c>
      <c r="Y246" s="82">
        <f t="shared" ref="Y246:Y252" si="44">$P$235</f>
        <v>510.38573328625245</v>
      </c>
    </row>
    <row r="247" spans="1:25" ht="20.100000000000001" customHeight="1" x14ac:dyDescent="0.25">
      <c r="V247" s="105"/>
      <c r="W247" s="82">
        <f t="shared" si="42"/>
        <v>357.27001330037672</v>
      </c>
      <c r="X247" s="82">
        <f t="shared" si="43"/>
        <v>663.50145327212817</v>
      </c>
      <c r="Y247" s="82">
        <f t="shared" si="44"/>
        <v>510.38573328625245</v>
      </c>
    </row>
    <row r="248" spans="1:25" ht="20.100000000000001" customHeight="1" x14ac:dyDescent="0.25">
      <c r="V248" s="105"/>
      <c r="W248" s="82">
        <f t="shared" si="42"/>
        <v>357.27001330037672</v>
      </c>
      <c r="X248" s="82">
        <f t="shared" si="43"/>
        <v>663.50145327212817</v>
      </c>
      <c r="Y248" s="82">
        <f t="shared" si="44"/>
        <v>510.38573328625245</v>
      </c>
    </row>
    <row r="249" spans="1:25" ht="20.100000000000001" customHeight="1" x14ac:dyDescent="0.25">
      <c r="W249" s="82">
        <f t="shared" si="42"/>
        <v>357.27001330037672</v>
      </c>
      <c r="X249" s="82">
        <f t="shared" si="43"/>
        <v>663.50145327212817</v>
      </c>
      <c r="Y249" s="82">
        <f t="shared" si="44"/>
        <v>510.38573328625245</v>
      </c>
    </row>
    <row r="250" spans="1:25" ht="20.100000000000001" customHeight="1" x14ac:dyDescent="0.25">
      <c r="W250" s="82">
        <f t="shared" si="42"/>
        <v>357.27001330037672</v>
      </c>
      <c r="X250" s="82">
        <f t="shared" si="43"/>
        <v>663.50145327212817</v>
      </c>
      <c r="Y250" s="82">
        <f t="shared" si="44"/>
        <v>510.38573328625245</v>
      </c>
    </row>
    <row r="251" spans="1:25" ht="20.100000000000001" customHeight="1" x14ac:dyDescent="0.25">
      <c r="W251" s="82">
        <f t="shared" si="42"/>
        <v>357.27001330037672</v>
      </c>
      <c r="X251" s="82">
        <f t="shared" si="43"/>
        <v>663.50145327212817</v>
      </c>
      <c r="Y251" s="82">
        <f t="shared" si="44"/>
        <v>510.38573328625245</v>
      </c>
    </row>
    <row r="252" spans="1:25" ht="20.100000000000001" customHeight="1" x14ac:dyDescent="0.25">
      <c r="W252" s="82">
        <f t="shared" si="42"/>
        <v>357.27001330037672</v>
      </c>
      <c r="X252" s="82">
        <f t="shared" si="43"/>
        <v>663.50145327212817</v>
      </c>
      <c r="Y252" s="82">
        <f t="shared" si="44"/>
        <v>510.38573328625245</v>
      </c>
    </row>
    <row r="254" spans="1:25" ht="20.100000000000001" customHeight="1" x14ac:dyDescent="0.25">
      <c r="P254" s="12"/>
      <c r="Q254" s="12"/>
      <c r="R254" s="12"/>
    </row>
    <row r="255" spans="1:25" ht="20.100000000000001" customHeight="1" x14ac:dyDescent="0.25">
      <c r="P255" s="12"/>
      <c r="Q255" s="12"/>
      <c r="R255" s="12"/>
    </row>
    <row r="256" spans="1:25" ht="20.100000000000001" customHeight="1" x14ac:dyDescent="0.25">
      <c r="P256" s="12"/>
      <c r="Q256" s="12"/>
      <c r="R256" s="12"/>
    </row>
    <row r="257" spans="1:30" ht="20.100000000000001" customHeight="1" x14ac:dyDescent="0.25">
      <c r="P257" s="12"/>
      <c r="Q257" s="12"/>
      <c r="R257" s="12"/>
    </row>
    <row r="258" spans="1:30" ht="20.100000000000001" customHeight="1" x14ac:dyDescent="0.25">
      <c r="P258" s="12"/>
      <c r="Q258" s="12"/>
      <c r="R258" s="12"/>
    </row>
    <row r="259" spans="1:30" ht="20.100000000000001" customHeight="1" x14ac:dyDescent="0.25">
      <c r="P259" s="12"/>
      <c r="Q259" s="12"/>
      <c r="R259" s="12"/>
    </row>
    <row r="260" spans="1:30" ht="20.100000000000001" customHeight="1" x14ac:dyDescent="0.25">
      <c r="P260" s="12"/>
      <c r="Q260" s="12"/>
      <c r="R260" s="12"/>
    </row>
    <row r="265" spans="1:30" ht="20.100000000000001" customHeight="1" x14ac:dyDescent="0.25">
      <c r="A265" s="117" t="s">
        <v>52</v>
      </c>
      <c r="B265" s="117"/>
      <c r="C265" s="117"/>
      <c r="D265" s="117"/>
      <c r="E265" s="117"/>
      <c r="F265" s="117"/>
      <c r="G265" s="117"/>
      <c r="H265" s="117"/>
      <c r="I265" s="117"/>
      <c r="J265" s="117"/>
      <c r="K265" s="117"/>
      <c r="L265" s="117"/>
      <c r="M265" s="117"/>
      <c r="N265" s="117"/>
      <c r="O265" s="117"/>
      <c r="P265" s="117"/>
      <c r="Q265" s="117"/>
      <c r="R265" s="117"/>
    </row>
    <row r="267" spans="1:30" ht="20.100000000000001" customHeight="1" x14ac:dyDescent="0.25">
      <c r="A267" s="5" t="s">
        <v>17</v>
      </c>
      <c r="B267" s="125" t="s">
        <v>32</v>
      </c>
      <c r="C267" s="125"/>
      <c r="D267" s="125"/>
      <c r="E267" s="125"/>
      <c r="F267" s="125"/>
      <c r="L267" s="109" t="s">
        <v>264</v>
      </c>
      <c r="M267" s="109"/>
      <c r="N267" s="109"/>
      <c r="O267" s="109"/>
      <c r="P267" s="109"/>
      <c r="Q267" s="186">
        <v>12</v>
      </c>
      <c r="R267" s="186"/>
      <c r="S267" s="181" t="s">
        <v>279</v>
      </c>
      <c r="T267" s="181"/>
      <c r="U267" s="181"/>
      <c r="AD267" s="4" t="s">
        <v>44</v>
      </c>
    </row>
    <row r="268" spans="1:30" ht="20.100000000000001" customHeight="1" x14ac:dyDescent="0.25">
      <c r="A268" s="79">
        <v>1</v>
      </c>
      <c r="B268" s="115">
        <f t="shared" ref="B268:B279" si="45">N197</f>
        <v>475.00000000000011</v>
      </c>
      <c r="C268" s="115"/>
      <c r="D268" s="115"/>
      <c r="E268" s="115"/>
      <c r="F268" s="115"/>
      <c r="G268" s="4">
        <f>A268</f>
        <v>1</v>
      </c>
      <c r="L268" s="109" t="s">
        <v>53</v>
      </c>
      <c r="M268" s="109"/>
      <c r="N268" s="109"/>
      <c r="O268" s="109"/>
      <c r="P268" s="109"/>
      <c r="Q268" s="113">
        <f>_xlfn.NORM.S.INV(1-((1/Q267)/4))</f>
        <v>2.0368341317013874</v>
      </c>
      <c r="R268" s="113"/>
      <c r="Y268" s="83"/>
      <c r="AB268" s="82"/>
      <c r="AC268" s="82"/>
      <c r="AD268" s="82">
        <f>$P$274</f>
        <v>411.57474693410467</v>
      </c>
    </row>
    <row r="269" spans="1:30" ht="20.100000000000001" customHeight="1" x14ac:dyDescent="0.25">
      <c r="A269" s="79">
        <v>2</v>
      </c>
      <c r="B269" s="112">
        <f t="shared" si="45"/>
        <v>480.93750000000011</v>
      </c>
      <c r="C269" s="112"/>
      <c r="D269" s="112"/>
      <c r="E269" s="112"/>
      <c r="F269" s="112"/>
      <c r="G269" s="4">
        <f t="shared" ref="G269:G279" si="46">A269</f>
        <v>2</v>
      </c>
      <c r="Q269" s="81"/>
      <c r="R269" s="81"/>
      <c r="Y269" s="83"/>
      <c r="AB269" s="82"/>
      <c r="AC269" s="82"/>
      <c r="AD269" s="82"/>
    </row>
    <row r="270" spans="1:30" ht="20.100000000000001" customHeight="1" x14ac:dyDescent="0.25">
      <c r="A270" s="79">
        <v>3</v>
      </c>
      <c r="B270" s="112">
        <f t="shared" si="45"/>
        <v>527.25000000000011</v>
      </c>
      <c r="C270" s="112"/>
      <c r="D270" s="112"/>
      <c r="E270" s="112"/>
      <c r="F270" s="112"/>
      <c r="G270" s="4">
        <f t="shared" si="46"/>
        <v>3</v>
      </c>
      <c r="L270" s="109" t="s">
        <v>36</v>
      </c>
      <c r="M270" s="109"/>
      <c r="N270" s="109"/>
      <c r="O270" s="109"/>
      <c r="P270" s="111">
        <f>AVERAGE(B268:B279)</f>
        <v>510.38573328625245</v>
      </c>
      <c r="Q270" s="111"/>
      <c r="R270" s="111"/>
      <c r="Y270" s="83"/>
      <c r="AB270" s="82"/>
      <c r="AC270" s="82"/>
      <c r="AD270" s="82"/>
    </row>
    <row r="271" spans="1:30" ht="20.100000000000001" customHeight="1" x14ac:dyDescent="0.25">
      <c r="A271" s="79">
        <v>4</v>
      </c>
      <c r="B271" s="112">
        <f t="shared" si="45"/>
        <v>541.50000000000011</v>
      </c>
      <c r="C271" s="112"/>
      <c r="D271" s="112"/>
      <c r="E271" s="112"/>
      <c r="F271" s="112"/>
      <c r="G271" s="4">
        <f t="shared" si="46"/>
        <v>4</v>
      </c>
      <c r="L271" s="109" t="s">
        <v>37</v>
      </c>
      <c r="M271" s="109"/>
      <c r="N271" s="109"/>
      <c r="O271" s="109"/>
      <c r="P271" s="111">
        <f>STDEVA(B268:F279)</f>
        <v>48.512043673192963</v>
      </c>
      <c r="Q271" s="111"/>
      <c r="R271" s="111"/>
      <c r="AB271" s="82"/>
      <c r="AC271" s="82"/>
      <c r="AD271" s="82">
        <f>$P$274</f>
        <v>411.57474693410467</v>
      </c>
    </row>
    <row r="272" spans="1:30" ht="20.100000000000001" customHeight="1" x14ac:dyDescent="0.25">
      <c r="A272" s="79">
        <v>5</v>
      </c>
      <c r="B272" s="112">
        <f t="shared" si="45"/>
        <v>585.83333333333326</v>
      </c>
      <c r="C272" s="112"/>
      <c r="D272" s="112"/>
      <c r="E272" s="112"/>
      <c r="F272" s="112"/>
      <c r="G272" s="4">
        <f t="shared" si="46"/>
        <v>5</v>
      </c>
      <c r="AB272" s="82"/>
      <c r="AC272" s="82"/>
      <c r="AD272" s="82"/>
    </row>
    <row r="273" spans="1:30" ht="20.100000000000001" customHeight="1" x14ac:dyDescent="0.25">
      <c r="A273" s="79">
        <v>6</v>
      </c>
      <c r="B273" s="112">
        <f t="shared" si="45"/>
        <v>513.00000000000011</v>
      </c>
      <c r="C273" s="112"/>
      <c r="D273" s="112"/>
      <c r="E273" s="112"/>
      <c r="F273" s="112"/>
      <c r="G273" s="4">
        <f t="shared" si="46"/>
        <v>6</v>
      </c>
      <c r="L273" s="109" t="s">
        <v>45</v>
      </c>
      <c r="M273" s="109"/>
      <c r="N273" s="109"/>
      <c r="O273" s="109"/>
      <c r="P273" s="111">
        <f>P270+(Q268*P271)</f>
        <v>609.19671963840028</v>
      </c>
      <c r="Q273" s="111"/>
      <c r="R273" s="111"/>
      <c r="AB273" s="82"/>
      <c r="AC273" s="82"/>
      <c r="AD273" s="82"/>
    </row>
    <row r="274" spans="1:30" ht="20.100000000000001" customHeight="1" x14ac:dyDescent="0.25">
      <c r="A274" s="79">
        <v>7</v>
      </c>
      <c r="B274" s="112">
        <f t="shared" si="45"/>
        <v>427.50000000000006</v>
      </c>
      <c r="C274" s="112"/>
      <c r="D274" s="112"/>
      <c r="E274" s="112"/>
      <c r="F274" s="112"/>
      <c r="G274" s="4">
        <f t="shared" si="46"/>
        <v>7</v>
      </c>
      <c r="L274" s="109" t="s">
        <v>44</v>
      </c>
      <c r="M274" s="109"/>
      <c r="N274" s="109"/>
      <c r="O274" s="109"/>
      <c r="P274" s="111">
        <f>P270-(Q268*P271)</f>
        <v>411.57474693410467</v>
      </c>
      <c r="Q274" s="111"/>
      <c r="R274" s="111"/>
      <c r="AB274" s="82"/>
      <c r="AC274" s="82"/>
      <c r="AD274" s="82"/>
    </row>
    <row r="275" spans="1:30" ht="20.100000000000001" customHeight="1" x14ac:dyDescent="0.25">
      <c r="A275" s="79">
        <v>8</v>
      </c>
      <c r="B275" s="112">
        <f t="shared" si="45"/>
        <v>530.10000000000014</v>
      </c>
      <c r="C275" s="112"/>
      <c r="D275" s="112"/>
      <c r="E275" s="112"/>
      <c r="F275" s="112"/>
      <c r="G275" s="4">
        <f t="shared" si="46"/>
        <v>8</v>
      </c>
      <c r="L275" s="109" t="s">
        <v>47</v>
      </c>
      <c r="M275" s="109"/>
      <c r="N275" s="109"/>
      <c r="O275" s="109"/>
      <c r="P275" s="111">
        <f>MAX(B268:B279)</f>
        <v>585.83333333333326</v>
      </c>
      <c r="Q275" s="111"/>
      <c r="R275" s="111"/>
      <c r="AB275" s="82"/>
      <c r="AC275" s="82"/>
      <c r="AD275" s="82"/>
    </row>
    <row r="276" spans="1:30" ht="20.100000000000001" customHeight="1" x14ac:dyDescent="0.25">
      <c r="A276" s="79">
        <v>9</v>
      </c>
      <c r="B276" s="112">
        <f t="shared" si="45"/>
        <v>526.68000000000006</v>
      </c>
      <c r="C276" s="112"/>
      <c r="D276" s="112"/>
      <c r="E276" s="112"/>
      <c r="F276" s="112"/>
      <c r="G276" s="4">
        <f t="shared" si="46"/>
        <v>9</v>
      </c>
      <c r="L276" s="109" t="s">
        <v>46</v>
      </c>
      <c r="M276" s="109"/>
      <c r="N276" s="109"/>
      <c r="O276" s="109"/>
      <c r="P276" s="111">
        <f>MIN(B268:B279)</f>
        <v>427.50000000000006</v>
      </c>
      <c r="Q276" s="111"/>
      <c r="R276" s="111"/>
      <c r="AB276" s="82"/>
      <c r="AC276" s="82"/>
      <c r="AD276" s="82"/>
    </row>
    <row r="277" spans="1:30" ht="20.100000000000001" customHeight="1" x14ac:dyDescent="0.25">
      <c r="A277" s="79">
        <v>10</v>
      </c>
      <c r="B277" s="112">
        <f t="shared" si="45"/>
        <v>538.65000000000009</v>
      </c>
      <c r="C277" s="112"/>
      <c r="D277" s="112"/>
      <c r="E277" s="112"/>
      <c r="F277" s="112"/>
      <c r="G277" s="4">
        <f t="shared" si="46"/>
        <v>10</v>
      </c>
      <c r="AB277" s="82"/>
      <c r="AC277" s="82"/>
      <c r="AD277" s="82"/>
    </row>
    <row r="278" spans="1:30" ht="20.100000000000001" customHeight="1" x14ac:dyDescent="0.25">
      <c r="A278" s="79">
        <v>11</v>
      </c>
      <c r="B278" s="112">
        <f t="shared" si="45"/>
        <v>427.50000000000006</v>
      </c>
      <c r="C278" s="112"/>
      <c r="D278" s="112"/>
      <c r="E278" s="112"/>
      <c r="F278" s="112"/>
      <c r="G278" s="4">
        <f t="shared" si="46"/>
        <v>11</v>
      </c>
      <c r="L278" s="109" t="s">
        <v>51</v>
      </c>
      <c r="M278" s="109"/>
      <c r="N278" s="109" t="str">
        <f>IF(P278="Nada a excluir","",X278)</f>
        <v/>
      </c>
      <c r="O278" s="109"/>
      <c r="P278" s="111" t="str" cm="1">
        <f t="array" ref="P278">_xlfn.IFS(AND(OR(P275&gt;P273,P276&lt;P274),(P275-P270)&gt;(P270-P276)),P275,AND(OR(P276&lt;P274,P275&gt;P273),(P270-P276)&gt;(P275-P270)),P276,AND(P275&lt;=P273,P276&gt;=P274),"Nada a excluir")</f>
        <v>Nada a excluir</v>
      </c>
      <c r="Q278" s="111"/>
      <c r="R278" s="111"/>
      <c r="X278" s="4" t="e">
        <f>VLOOKUP(P278,B268:G279,6,0)</f>
        <v>#N/A</v>
      </c>
      <c r="AB278" s="82"/>
      <c r="AC278" s="82"/>
      <c r="AD278" s="82"/>
    </row>
    <row r="279" spans="1:30" ht="20.100000000000001" customHeight="1" x14ac:dyDescent="0.25">
      <c r="A279" s="79">
        <v>12</v>
      </c>
      <c r="B279" s="112">
        <f t="shared" si="45"/>
        <v>550.67796610169501</v>
      </c>
      <c r="C279" s="112"/>
      <c r="D279" s="112"/>
      <c r="E279" s="112"/>
      <c r="F279" s="112"/>
      <c r="G279" s="4">
        <f t="shared" si="46"/>
        <v>12</v>
      </c>
      <c r="L279" s="120" t="s">
        <v>50</v>
      </c>
      <c r="M279" s="120"/>
      <c r="N279" s="120"/>
      <c r="O279" s="120"/>
      <c r="P279" s="153" t="str">
        <f>IF(P278="Nada a excluir","Encerrar","Continuar")</f>
        <v>Encerrar</v>
      </c>
      <c r="Q279" s="153"/>
      <c r="R279" s="153"/>
      <c r="AB279" s="82"/>
      <c r="AC279" s="82"/>
      <c r="AD279" s="82">
        <f>$P$274</f>
        <v>411.57474693410467</v>
      </c>
    </row>
    <row r="280" spans="1:30" ht="20.100000000000001" customHeight="1" x14ac:dyDescent="0.25">
      <c r="AB280" s="82"/>
      <c r="AC280" s="82"/>
      <c r="AD280" s="82">
        <f>$P$274</f>
        <v>411.57474693410467</v>
      </c>
    </row>
    <row r="281" spans="1:30" ht="20.100000000000001" customHeight="1" x14ac:dyDescent="0.25">
      <c r="L281" s="109" t="s">
        <v>48</v>
      </c>
      <c r="M281" s="109"/>
      <c r="N281" s="109"/>
      <c r="O281" s="109"/>
      <c r="P281" s="168">
        <f>P271</f>
        <v>48.512043673192963</v>
      </c>
      <c r="Q281" s="174"/>
      <c r="R281" s="174"/>
      <c r="AB281" s="82"/>
      <c r="AC281" s="82"/>
      <c r="AD281" s="82">
        <f>$P$274</f>
        <v>411.57474693410467</v>
      </c>
    </row>
    <row r="282" spans="1:30" ht="20.100000000000001" customHeight="1" x14ac:dyDescent="0.25">
      <c r="L282" s="120" t="s">
        <v>35</v>
      </c>
      <c r="M282" s="120"/>
      <c r="N282" s="120"/>
      <c r="O282" s="120"/>
      <c r="P282" s="152">
        <f>P271/P270</f>
        <v>9.5049764343598409E-2</v>
      </c>
      <c r="Q282" s="152"/>
      <c r="R282" s="152"/>
      <c r="AB282" s="82"/>
      <c r="AC282" s="82"/>
      <c r="AD282" s="82">
        <f>$P$274</f>
        <v>411.57474693410467</v>
      </c>
    </row>
    <row r="283" spans="1:30" ht="20.100000000000001" customHeight="1" x14ac:dyDescent="0.25">
      <c r="W283" s="4" t="s">
        <v>44</v>
      </c>
      <c r="X283" s="4" t="s">
        <v>45</v>
      </c>
      <c r="Y283" s="4" t="s">
        <v>36</v>
      </c>
      <c r="AB283" s="82"/>
      <c r="AC283" s="82"/>
      <c r="AD283" s="82">
        <f>$P$274</f>
        <v>411.57474693410467</v>
      </c>
    </row>
    <row r="284" spans="1:30" ht="20.100000000000001" customHeight="1" x14ac:dyDescent="0.25">
      <c r="W284" s="82">
        <f t="shared" ref="W284:W295" si="47">$P$274</f>
        <v>411.57474693410467</v>
      </c>
      <c r="X284" s="82">
        <f t="shared" ref="X284:X295" si="48">$P$273</f>
        <v>609.19671963840028</v>
      </c>
      <c r="Y284" s="82">
        <f>$P$235</f>
        <v>510.38573328625245</v>
      </c>
    </row>
    <row r="285" spans="1:30" ht="20.100000000000001" customHeight="1" x14ac:dyDescent="0.25">
      <c r="W285" s="82">
        <f t="shared" si="47"/>
        <v>411.57474693410467</v>
      </c>
      <c r="X285" s="82">
        <f t="shared" si="48"/>
        <v>609.19671963840028</v>
      </c>
      <c r="Y285" s="82">
        <f>$P$235</f>
        <v>510.38573328625245</v>
      </c>
    </row>
    <row r="286" spans="1:30" ht="20.100000000000001" customHeight="1" x14ac:dyDescent="0.25">
      <c r="W286" s="82">
        <f t="shared" si="47"/>
        <v>411.57474693410467</v>
      </c>
      <c r="X286" s="82">
        <f t="shared" si="48"/>
        <v>609.19671963840028</v>
      </c>
      <c r="Y286" s="82">
        <f>$P$235</f>
        <v>510.38573328625245</v>
      </c>
    </row>
    <row r="287" spans="1:30" ht="20.100000000000001" customHeight="1" x14ac:dyDescent="0.25">
      <c r="W287" s="82">
        <f t="shared" si="47"/>
        <v>411.57474693410467</v>
      </c>
      <c r="X287" s="82">
        <f t="shared" si="48"/>
        <v>609.19671963840028</v>
      </c>
      <c r="Y287" s="82">
        <f>$P$235</f>
        <v>510.38573328625245</v>
      </c>
    </row>
    <row r="288" spans="1:30" ht="20.100000000000001" customHeight="1" x14ac:dyDescent="0.25">
      <c r="W288" s="82">
        <f t="shared" si="47"/>
        <v>411.57474693410467</v>
      </c>
      <c r="X288" s="82">
        <f t="shared" si="48"/>
        <v>609.19671963840028</v>
      </c>
      <c r="Y288" s="82">
        <f>$P$235</f>
        <v>510.38573328625245</v>
      </c>
    </row>
    <row r="289" spans="1:25" ht="20.100000000000001" customHeight="1" x14ac:dyDescent="0.25">
      <c r="W289" s="82">
        <f t="shared" si="47"/>
        <v>411.57474693410467</v>
      </c>
      <c r="X289" s="82">
        <f t="shared" si="48"/>
        <v>609.19671963840028</v>
      </c>
      <c r="Y289" s="82">
        <f t="shared" ref="Y289:Y295" si="49">$P$235</f>
        <v>510.38573328625245</v>
      </c>
    </row>
    <row r="290" spans="1:25" ht="20.100000000000001" customHeight="1" x14ac:dyDescent="0.25">
      <c r="W290" s="82">
        <f t="shared" si="47"/>
        <v>411.57474693410467</v>
      </c>
      <c r="X290" s="82">
        <f t="shared" si="48"/>
        <v>609.19671963840028</v>
      </c>
      <c r="Y290" s="82">
        <f t="shared" si="49"/>
        <v>510.38573328625245</v>
      </c>
    </row>
    <row r="291" spans="1:25" ht="20.100000000000001" customHeight="1" x14ac:dyDescent="0.25">
      <c r="W291" s="82">
        <f t="shared" si="47"/>
        <v>411.57474693410467</v>
      </c>
      <c r="X291" s="82">
        <f t="shared" si="48"/>
        <v>609.19671963840028</v>
      </c>
      <c r="Y291" s="82">
        <f t="shared" si="49"/>
        <v>510.38573328625245</v>
      </c>
    </row>
    <row r="292" spans="1:25" ht="20.100000000000001" customHeight="1" x14ac:dyDescent="0.25">
      <c r="W292" s="82">
        <f t="shared" si="47"/>
        <v>411.57474693410467</v>
      </c>
      <c r="X292" s="82">
        <f t="shared" si="48"/>
        <v>609.19671963840028</v>
      </c>
      <c r="Y292" s="82">
        <f t="shared" si="49"/>
        <v>510.38573328625245</v>
      </c>
    </row>
    <row r="293" spans="1:25" ht="20.100000000000001" customHeight="1" x14ac:dyDescent="0.25">
      <c r="W293" s="82">
        <f t="shared" si="47"/>
        <v>411.57474693410467</v>
      </c>
      <c r="X293" s="82">
        <f t="shared" si="48"/>
        <v>609.19671963840028</v>
      </c>
      <c r="Y293" s="82">
        <f t="shared" si="49"/>
        <v>510.38573328625245</v>
      </c>
    </row>
    <row r="294" spans="1:25" ht="20.100000000000001" customHeight="1" x14ac:dyDescent="0.25">
      <c r="W294" s="82">
        <f t="shared" si="47"/>
        <v>411.57474693410467</v>
      </c>
      <c r="X294" s="82">
        <f t="shared" si="48"/>
        <v>609.19671963840028</v>
      </c>
      <c r="Y294" s="82">
        <f t="shared" si="49"/>
        <v>510.38573328625245</v>
      </c>
    </row>
    <row r="295" spans="1:25" ht="20.100000000000001" customHeight="1" x14ac:dyDescent="0.25">
      <c r="W295" s="82">
        <f t="shared" si="47"/>
        <v>411.57474693410467</v>
      </c>
      <c r="X295" s="82">
        <f t="shared" si="48"/>
        <v>609.19671963840028</v>
      </c>
      <c r="Y295" s="82">
        <f t="shared" si="49"/>
        <v>510.38573328625245</v>
      </c>
    </row>
    <row r="302" spans="1:25" ht="20.100000000000001" customHeight="1" x14ac:dyDescent="0.25">
      <c r="A302" s="117" t="s">
        <v>54</v>
      </c>
      <c r="B302" s="117"/>
      <c r="C302" s="117"/>
      <c r="D302" s="117"/>
      <c r="E302" s="117"/>
      <c r="F302" s="117"/>
      <c r="G302" s="117"/>
      <c r="H302" s="117"/>
      <c r="I302" s="117"/>
      <c r="J302" s="117"/>
      <c r="K302" s="117"/>
      <c r="L302" s="117"/>
      <c r="M302" s="117"/>
      <c r="N302" s="117"/>
      <c r="O302" s="117"/>
      <c r="P302" s="117"/>
      <c r="Q302" s="117"/>
      <c r="R302" s="117"/>
    </row>
    <row r="304" spans="1:25" ht="20.100000000000001" customHeight="1" x14ac:dyDescent="0.25">
      <c r="A304" s="5" t="s">
        <v>17</v>
      </c>
      <c r="B304" s="125" t="s">
        <v>32</v>
      </c>
      <c r="C304" s="125"/>
      <c r="D304" s="125"/>
      <c r="E304" s="125"/>
      <c r="F304" s="125"/>
      <c r="L304" s="109" t="s">
        <v>264</v>
      </c>
      <c r="M304" s="109"/>
      <c r="N304" s="109"/>
      <c r="O304" s="109"/>
      <c r="P304" s="109"/>
      <c r="Q304" s="114">
        <v>12</v>
      </c>
      <c r="R304" s="114"/>
      <c r="S304" s="181" t="s">
        <v>279</v>
      </c>
      <c r="T304" s="181"/>
      <c r="U304" s="181"/>
    </row>
    <row r="305" spans="1:24" ht="20.100000000000001" customHeight="1" x14ac:dyDescent="0.25">
      <c r="A305" s="79">
        <v>1</v>
      </c>
      <c r="B305" s="115">
        <f>N197</f>
        <v>475.00000000000011</v>
      </c>
      <c r="C305" s="115"/>
      <c r="D305" s="115"/>
      <c r="E305" s="115"/>
      <c r="F305" s="115"/>
      <c r="G305" s="4">
        <f>A305</f>
        <v>1</v>
      </c>
      <c r="L305" s="109" t="s">
        <v>55</v>
      </c>
      <c r="M305" s="109"/>
      <c r="N305" s="109"/>
      <c r="O305" s="109"/>
      <c r="P305" s="109"/>
      <c r="Q305" s="116" cm="1">
        <f t="array" ref="Q305">_xlfn.IFS(Q304&lt;=5,0.1,AND(Q304&gt;=6,Q304&lt;=10),0.05,AND(Q304&gt;=11,Q304&lt;=50),0.01,Q304&gt;50,0.001)</f>
        <v>0.01</v>
      </c>
      <c r="R305" s="116"/>
    </row>
    <row r="306" spans="1:24" ht="20.100000000000001" customHeight="1" x14ac:dyDescent="0.25">
      <c r="A306" s="79">
        <v>2</v>
      </c>
      <c r="B306" s="112">
        <f>N198</f>
        <v>480.93750000000011</v>
      </c>
      <c r="C306" s="112"/>
      <c r="D306" s="112"/>
      <c r="E306" s="112"/>
      <c r="F306" s="112"/>
      <c r="G306" s="4">
        <f t="shared" ref="G306:G316" si="50">A306</f>
        <v>2</v>
      </c>
      <c r="L306" s="109" t="s">
        <v>56</v>
      </c>
      <c r="M306" s="109"/>
      <c r="N306" s="109"/>
      <c r="O306" s="109"/>
      <c r="P306" s="109"/>
      <c r="Q306" s="196">
        <f>Q304-2</f>
        <v>10</v>
      </c>
      <c r="R306" s="196"/>
    </row>
    <row r="307" spans="1:24" ht="20.100000000000001" customHeight="1" x14ac:dyDescent="0.25">
      <c r="A307" s="79">
        <v>3</v>
      </c>
      <c r="B307" s="112">
        <f>N199</f>
        <v>527.25000000000011</v>
      </c>
      <c r="C307" s="112"/>
      <c r="D307" s="112"/>
      <c r="E307" s="112"/>
      <c r="F307" s="112"/>
      <c r="G307" s="4">
        <f t="shared" si="50"/>
        <v>3</v>
      </c>
      <c r="L307" s="109" t="s">
        <v>53</v>
      </c>
      <c r="M307" s="109"/>
      <c r="N307" s="109"/>
      <c r="O307" s="109"/>
      <c r="P307" s="109"/>
      <c r="Q307" s="113">
        <f>X318</f>
        <v>2.3477974015249643</v>
      </c>
      <c r="R307" s="113"/>
    </row>
    <row r="308" spans="1:24" ht="20.100000000000001" customHeight="1" x14ac:dyDescent="0.25">
      <c r="A308" s="79">
        <v>4</v>
      </c>
      <c r="B308" s="112">
        <f>N200</f>
        <v>541.50000000000011</v>
      </c>
      <c r="C308" s="112"/>
      <c r="D308" s="112"/>
      <c r="E308" s="112"/>
      <c r="F308" s="112"/>
      <c r="G308" s="4">
        <f t="shared" si="50"/>
        <v>4</v>
      </c>
    </row>
    <row r="309" spans="1:24" ht="20.100000000000001" customHeight="1" x14ac:dyDescent="0.25">
      <c r="A309" s="79">
        <v>5</v>
      </c>
      <c r="B309" s="112">
        <f t="shared" ref="B309:B315" si="51">N201</f>
        <v>585.83333333333326</v>
      </c>
      <c r="C309" s="112"/>
      <c r="D309" s="112"/>
      <c r="E309" s="112"/>
      <c r="F309" s="112"/>
      <c r="G309" s="4">
        <f t="shared" si="50"/>
        <v>5</v>
      </c>
      <c r="L309" s="109" t="s">
        <v>36</v>
      </c>
      <c r="M309" s="109"/>
      <c r="N309" s="109"/>
      <c r="O309" s="109"/>
      <c r="P309" s="111">
        <f>AVERAGE(B305:B316)</f>
        <v>510.38573328625245</v>
      </c>
      <c r="Q309" s="111"/>
      <c r="R309" s="111"/>
    </row>
    <row r="310" spans="1:24" ht="20.100000000000001" customHeight="1" x14ac:dyDescent="0.25">
      <c r="A310" s="79">
        <v>6</v>
      </c>
      <c r="B310" s="112">
        <f t="shared" si="51"/>
        <v>513.00000000000011</v>
      </c>
      <c r="C310" s="112"/>
      <c r="D310" s="112"/>
      <c r="E310" s="112"/>
      <c r="F310" s="112"/>
      <c r="G310" s="4">
        <f t="shared" si="50"/>
        <v>6</v>
      </c>
      <c r="L310" s="109" t="s">
        <v>37</v>
      </c>
      <c r="M310" s="109"/>
      <c r="N310" s="109"/>
      <c r="O310" s="109"/>
      <c r="P310" s="111">
        <f>STDEVA(B305:F316)</f>
        <v>48.512043673192963</v>
      </c>
      <c r="Q310" s="111"/>
      <c r="R310" s="111"/>
    </row>
    <row r="311" spans="1:24" ht="20.100000000000001" customHeight="1" x14ac:dyDescent="0.25">
      <c r="A311" s="79">
        <v>7</v>
      </c>
      <c r="B311" s="112">
        <f t="shared" si="51"/>
        <v>427.50000000000006</v>
      </c>
      <c r="C311" s="112"/>
      <c r="D311" s="112"/>
      <c r="E311" s="112"/>
      <c r="F311" s="112"/>
      <c r="G311" s="4">
        <f t="shared" si="50"/>
        <v>7</v>
      </c>
    </row>
    <row r="312" spans="1:24" ht="20.100000000000001" customHeight="1" x14ac:dyDescent="0.25">
      <c r="A312" s="79">
        <v>8</v>
      </c>
      <c r="B312" s="112">
        <f t="shared" si="51"/>
        <v>530.10000000000014</v>
      </c>
      <c r="C312" s="112"/>
      <c r="D312" s="112"/>
      <c r="E312" s="112"/>
      <c r="F312" s="112"/>
      <c r="G312" s="4">
        <f t="shared" si="50"/>
        <v>8</v>
      </c>
      <c r="L312" s="109" t="s">
        <v>45</v>
      </c>
      <c r="M312" s="109"/>
      <c r="N312" s="109"/>
      <c r="O312" s="109"/>
      <c r="P312" s="111">
        <f>P309+(Q307*P310)</f>
        <v>624.28218336484042</v>
      </c>
      <c r="Q312" s="111"/>
      <c r="R312" s="111"/>
    </row>
    <row r="313" spans="1:24" ht="20.100000000000001" customHeight="1" x14ac:dyDescent="0.25">
      <c r="A313" s="79">
        <v>9</v>
      </c>
      <c r="B313" s="112">
        <f t="shared" si="51"/>
        <v>526.68000000000006</v>
      </c>
      <c r="C313" s="112"/>
      <c r="D313" s="112"/>
      <c r="E313" s="112"/>
      <c r="F313" s="112"/>
      <c r="G313" s="4">
        <f t="shared" si="50"/>
        <v>9</v>
      </c>
      <c r="L313" s="109" t="s">
        <v>44</v>
      </c>
      <c r="M313" s="109"/>
      <c r="N313" s="109"/>
      <c r="O313" s="109"/>
      <c r="P313" s="111">
        <f>P309-(Q307*P310)</f>
        <v>396.48928320766441</v>
      </c>
      <c r="Q313" s="111"/>
      <c r="R313" s="111"/>
    </row>
    <row r="314" spans="1:24" ht="20.100000000000001" customHeight="1" x14ac:dyDescent="0.25">
      <c r="A314" s="79">
        <v>10</v>
      </c>
      <c r="B314" s="112">
        <f t="shared" si="51"/>
        <v>538.65000000000009</v>
      </c>
      <c r="C314" s="112"/>
      <c r="D314" s="112"/>
      <c r="E314" s="112"/>
      <c r="F314" s="112"/>
      <c r="G314" s="4">
        <f t="shared" si="50"/>
        <v>10</v>
      </c>
      <c r="L314" s="109" t="s">
        <v>47</v>
      </c>
      <c r="M314" s="109"/>
      <c r="N314" s="109"/>
      <c r="O314" s="109"/>
      <c r="P314" s="111">
        <f>MAX(B305:B316)</f>
        <v>585.83333333333326</v>
      </c>
      <c r="Q314" s="111"/>
      <c r="R314" s="111"/>
    </row>
    <row r="315" spans="1:24" ht="20.100000000000001" customHeight="1" x14ac:dyDescent="0.25">
      <c r="A315" s="79">
        <v>11</v>
      </c>
      <c r="B315" s="112">
        <f t="shared" si="51"/>
        <v>427.50000000000006</v>
      </c>
      <c r="C315" s="112"/>
      <c r="D315" s="112"/>
      <c r="E315" s="112"/>
      <c r="F315" s="112"/>
      <c r="G315" s="4">
        <f t="shared" si="50"/>
        <v>11</v>
      </c>
      <c r="L315" s="109" t="s">
        <v>46</v>
      </c>
      <c r="M315" s="109"/>
      <c r="N315" s="109"/>
      <c r="O315" s="109"/>
      <c r="P315" s="111">
        <f>MIN(B305:B316)</f>
        <v>427.50000000000006</v>
      </c>
      <c r="Q315" s="111"/>
      <c r="R315" s="111"/>
    </row>
    <row r="316" spans="1:24" ht="20.100000000000001" customHeight="1" x14ac:dyDescent="0.25">
      <c r="A316" s="79">
        <v>12</v>
      </c>
      <c r="B316" s="112">
        <f t="shared" ref="B316" si="52">N208</f>
        <v>550.67796610169501</v>
      </c>
      <c r="C316" s="112"/>
      <c r="D316" s="112"/>
      <c r="E316" s="112"/>
      <c r="F316" s="112"/>
      <c r="G316" s="4">
        <f t="shared" si="50"/>
        <v>12</v>
      </c>
    </row>
    <row r="317" spans="1:24" ht="20.100000000000001" customHeight="1" x14ac:dyDescent="0.25">
      <c r="L317" s="109" t="s">
        <v>51</v>
      </c>
      <c r="M317" s="109"/>
      <c r="N317" s="109" t="str">
        <f>IF(P317="Nada a excluir","",X319)</f>
        <v/>
      </c>
      <c r="O317" s="109"/>
      <c r="P317" s="111" t="str" cm="1">
        <f t="array" ref="P317">_xlfn.IFS(AND(OR(P314&gt;P312,P315&lt;P313),(P314-P309)&gt;(P309-P315)),P314,AND(OR(P315&lt;P313,P314&gt;P312),(P309-P315)&gt;(P314-P309)),P315,AND(P314&lt;=P312,P315&gt;=P313),"Nada a excluir")</f>
        <v>Nada a excluir</v>
      </c>
      <c r="Q317" s="111"/>
      <c r="R317" s="111"/>
      <c r="X317" s="4">
        <f>_xlfn.T.INV.2T(Q305,Q306)</f>
        <v>3.1692726726169518</v>
      </c>
    </row>
    <row r="318" spans="1:24" ht="20.100000000000001" customHeight="1" x14ac:dyDescent="0.25">
      <c r="L318" s="120" t="s">
        <v>50</v>
      </c>
      <c r="M318" s="120"/>
      <c r="N318" s="120"/>
      <c r="O318" s="120"/>
      <c r="P318" s="153" t="str">
        <f>IF(P317="Nada a excluir","Encerrar","Continuar")</f>
        <v>Encerrar</v>
      </c>
      <c r="Q318" s="153"/>
      <c r="R318" s="153"/>
      <c r="X318" s="4">
        <f>((((X317^2)*(Q304))-X317^2)/(Q304-2+X317^2))^(1/2)</f>
        <v>2.3477974015249643</v>
      </c>
    </row>
    <row r="319" spans="1:24" ht="20.100000000000001" customHeight="1" x14ac:dyDescent="0.25">
      <c r="X319" s="4" t="e">
        <f>VLOOKUP(P317,B305:G316,6,0)</f>
        <v>#N/A</v>
      </c>
    </row>
    <row r="320" spans="1:24" ht="20.100000000000001" customHeight="1" x14ac:dyDescent="0.25">
      <c r="L320" s="109" t="s">
        <v>48</v>
      </c>
      <c r="M320" s="109"/>
      <c r="N320" s="109"/>
      <c r="O320" s="109"/>
      <c r="P320" s="168">
        <f>P310</f>
        <v>48.512043673192963</v>
      </c>
      <c r="Q320" s="174"/>
      <c r="R320" s="174"/>
    </row>
    <row r="321" spans="12:25" ht="20.100000000000001" customHeight="1" x14ac:dyDescent="0.25">
      <c r="L321" s="120" t="s">
        <v>35</v>
      </c>
      <c r="M321" s="120"/>
      <c r="N321" s="120"/>
      <c r="O321" s="120"/>
      <c r="P321" s="152">
        <f>P310/P309</f>
        <v>9.5049764343598409E-2</v>
      </c>
      <c r="Q321" s="152"/>
      <c r="R321" s="152"/>
    </row>
    <row r="323" spans="12:25" ht="20.100000000000001" customHeight="1" x14ac:dyDescent="0.25">
      <c r="W323" s="4" t="s">
        <v>44</v>
      </c>
      <c r="X323" s="4" t="s">
        <v>45</v>
      </c>
      <c r="Y323" s="4" t="s">
        <v>36</v>
      </c>
    </row>
    <row r="324" spans="12:25" ht="20.100000000000001" customHeight="1" x14ac:dyDescent="0.25">
      <c r="W324" s="82">
        <f>$P$313</f>
        <v>396.48928320766441</v>
      </c>
      <c r="X324" s="82">
        <f>$P$312</f>
        <v>624.28218336484042</v>
      </c>
      <c r="Y324" s="82">
        <f>$P$309</f>
        <v>510.38573328625245</v>
      </c>
    </row>
    <row r="325" spans="12:25" ht="20.100000000000001" customHeight="1" x14ac:dyDescent="0.25">
      <c r="W325" s="82">
        <f>$P$313</f>
        <v>396.48928320766441</v>
      </c>
      <c r="X325" s="82">
        <f>$P$312</f>
        <v>624.28218336484042</v>
      </c>
      <c r="Y325" s="82">
        <f>$P$309</f>
        <v>510.38573328625245</v>
      </c>
    </row>
    <row r="326" spans="12:25" ht="20.100000000000001" customHeight="1" x14ac:dyDescent="0.25">
      <c r="W326" s="82">
        <f>$P$313</f>
        <v>396.48928320766441</v>
      </c>
      <c r="X326" s="82">
        <f>$P$312</f>
        <v>624.28218336484042</v>
      </c>
      <c r="Y326" s="82">
        <f>$P$309</f>
        <v>510.38573328625245</v>
      </c>
    </row>
    <row r="327" spans="12:25" ht="20.100000000000001" customHeight="1" x14ac:dyDescent="0.25">
      <c r="W327" s="82">
        <f>$P$313</f>
        <v>396.48928320766441</v>
      </c>
      <c r="X327" s="82">
        <f>$P$312</f>
        <v>624.28218336484042</v>
      </c>
      <c r="Y327" s="82">
        <f>$P$309</f>
        <v>510.38573328625245</v>
      </c>
    </row>
    <row r="328" spans="12:25" ht="20.100000000000001" customHeight="1" x14ac:dyDescent="0.25">
      <c r="W328" s="82">
        <f>$P$313</f>
        <v>396.48928320766441</v>
      </c>
      <c r="X328" s="82">
        <f>$P$312</f>
        <v>624.28218336484042</v>
      </c>
      <c r="Y328" s="82">
        <f>$P$309</f>
        <v>510.38573328625245</v>
      </c>
    </row>
    <row r="329" spans="12:25" ht="20.100000000000001" customHeight="1" x14ac:dyDescent="0.25">
      <c r="W329" s="82">
        <f t="shared" ref="W329:W335" si="53">$P$313</f>
        <v>396.48928320766441</v>
      </c>
      <c r="X329" s="82">
        <f t="shared" ref="X329:X335" si="54">$P$312</f>
        <v>624.28218336484042</v>
      </c>
      <c r="Y329" s="82">
        <f t="shared" ref="Y329:Y335" si="55">$P$309</f>
        <v>510.38573328625245</v>
      </c>
    </row>
    <row r="330" spans="12:25" ht="20.100000000000001" customHeight="1" x14ac:dyDescent="0.25">
      <c r="W330" s="82">
        <f t="shared" si="53"/>
        <v>396.48928320766441</v>
      </c>
      <c r="X330" s="82">
        <f t="shared" si="54"/>
        <v>624.28218336484042</v>
      </c>
      <c r="Y330" s="82">
        <f t="shared" si="55"/>
        <v>510.38573328625245</v>
      </c>
    </row>
    <row r="331" spans="12:25" ht="20.100000000000001" customHeight="1" x14ac:dyDescent="0.25">
      <c r="W331" s="82">
        <f t="shared" si="53"/>
        <v>396.48928320766441</v>
      </c>
      <c r="X331" s="82">
        <f t="shared" si="54"/>
        <v>624.28218336484042</v>
      </c>
      <c r="Y331" s="82">
        <f t="shared" si="55"/>
        <v>510.38573328625245</v>
      </c>
    </row>
    <row r="332" spans="12:25" ht="20.100000000000001" customHeight="1" x14ac:dyDescent="0.25">
      <c r="W332" s="82">
        <f t="shared" si="53"/>
        <v>396.48928320766441</v>
      </c>
      <c r="X332" s="82">
        <f t="shared" si="54"/>
        <v>624.28218336484042</v>
      </c>
      <c r="Y332" s="82">
        <f t="shared" si="55"/>
        <v>510.38573328625245</v>
      </c>
    </row>
    <row r="333" spans="12:25" ht="20.100000000000001" customHeight="1" x14ac:dyDescent="0.25">
      <c r="W333" s="82">
        <f t="shared" si="53"/>
        <v>396.48928320766441</v>
      </c>
      <c r="X333" s="82">
        <f t="shared" si="54"/>
        <v>624.28218336484042</v>
      </c>
      <c r="Y333" s="82">
        <f t="shared" si="55"/>
        <v>510.38573328625245</v>
      </c>
    </row>
    <row r="334" spans="12:25" ht="20.100000000000001" customHeight="1" x14ac:dyDescent="0.25">
      <c r="W334" s="82">
        <f t="shared" si="53"/>
        <v>396.48928320766441</v>
      </c>
      <c r="X334" s="82">
        <f t="shared" si="54"/>
        <v>624.28218336484042</v>
      </c>
      <c r="Y334" s="82">
        <f t="shared" si="55"/>
        <v>510.38573328625245</v>
      </c>
    </row>
    <row r="335" spans="12:25" ht="20.100000000000001" customHeight="1" x14ac:dyDescent="0.25">
      <c r="W335" s="82">
        <f t="shared" si="53"/>
        <v>396.48928320766441</v>
      </c>
      <c r="X335" s="82">
        <f t="shared" si="54"/>
        <v>624.28218336484042</v>
      </c>
      <c r="Y335" s="82">
        <f t="shared" si="55"/>
        <v>510.38573328625245</v>
      </c>
    </row>
    <row r="341" spans="1:27" ht="20.100000000000001" customHeight="1" x14ac:dyDescent="0.25">
      <c r="A341" s="154" t="s">
        <v>57</v>
      </c>
      <c r="B341" s="154"/>
      <c r="C341" s="154"/>
      <c r="D341" s="154"/>
      <c r="E341" s="154"/>
      <c r="F341" s="154"/>
      <c r="G341" s="154" t="s">
        <v>36</v>
      </c>
      <c r="H341" s="154"/>
      <c r="I341" s="154"/>
      <c r="J341" s="154"/>
      <c r="K341" s="154" t="s">
        <v>37</v>
      </c>
      <c r="L341" s="154"/>
      <c r="M341" s="154"/>
      <c r="N341" s="154"/>
      <c r="O341" s="154" t="s">
        <v>35</v>
      </c>
      <c r="P341" s="154"/>
      <c r="Q341" s="154"/>
      <c r="R341" s="154"/>
    </row>
    <row r="342" spans="1:27" ht="20.100000000000001" customHeight="1" x14ac:dyDescent="0.25">
      <c r="A342" s="129" t="s">
        <v>58</v>
      </c>
      <c r="B342" s="129"/>
      <c r="C342" s="129"/>
      <c r="D342" s="129"/>
      <c r="E342" s="129"/>
      <c r="F342" s="129"/>
      <c r="G342" s="111">
        <f>P235</f>
        <v>510.38573328625245</v>
      </c>
      <c r="H342" s="111"/>
      <c r="I342" s="111"/>
      <c r="J342" s="111"/>
      <c r="K342" s="111">
        <f>P244</f>
        <v>48.512043673192963</v>
      </c>
      <c r="L342" s="111"/>
      <c r="M342" s="111"/>
      <c r="N342" s="111"/>
      <c r="O342" s="155">
        <f>P245</f>
        <v>9.5049764343598409E-2</v>
      </c>
      <c r="P342" s="155"/>
      <c r="Q342" s="155"/>
      <c r="R342" s="155"/>
      <c r="X342" s="84">
        <f>O342</f>
        <v>9.5049764343598409E-2</v>
      </c>
      <c r="Y342" s="4" t="str">
        <f>A342</f>
        <v>Intervalo em torno da média</v>
      </c>
      <c r="Z342" s="82">
        <f>G342</f>
        <v>510.38573328625245</v>
      </c>
      <c r="AA342" s="82">
        <f>K342</f>
        <v>48.512043673192963</v>
      </c>
    </row>
    <row r="343" spans="1:27" ht="20.100000000000001" customHeight="1" x14ac:dyDescent="0.25">
      <c r="A343" s="120" t="s">
        <v>59</v>
      </c>
      <c r="B343" s="120"/>
      <c r="C343" s="120"/>
      <c r="D343" s="120"/>
      <c r="E343" s="120"/>
      <c r="F343" s="120"/>
      <c r="G343" s="119">
        <f>P270</f>
        <v>510.38573328625245</v>
      </c>
      <c r="H343" s="119"/>
      <c r="I343" s="119"/>
      <c r="J343" s="119"/>
      <c r="K343" s="119">
        <f>P271</f>
        <v>48.512043673192963</v>
      </c>
      <c r="L343" s="119"/>
      <c r="M343" s="119"/>
      <c r="N343" s="119"/>
      <c r="O343" s="197">
        <f>P282</f>
        <v>9.5049764343598409E-2</v>
      </c>
      <c r="P343" s="197"/>
      <c r="Q343" s="197"/>
      <c r="R343" s="197"/>
      <c r="X343" s="84">
        <f>O343</f>
        <v>9.5049764343598409E-2</v>
      </c>
      <c r="Y343" s="4" t="str">
        <f>A343</f>
        <v>Critério de Chauvenet</v>
      </c>
      <c r="Z343" s="82">
        <f>G343</f>
        <v>510.38573328625245</v>
      </c>
      <c r="AA343" s="82">
        <f>K343</f>
        <v>48.512043673192963</v>
      </c>
    </row>
    <row r="344" spans="1:27" ht="20.100000000000001" customHeight="1" x14ac:dyDescent="0.25">
      <c r="A344" s="120" t="s">
        <v>60</v>
      </c>
      <c r="B344" s="120"/>
      <c r="C344" s="120"/>
      <c r="D344" s="120"/>
      <c r="E344" s="120"/>
      <c r="F344" s="120"/>
      <c r="G344" s="119">
        <f>P309</f>
        <v>510.38573328625245</v>
      </c>
      <c r="H344" s="119"/>
      <c r="I344" s="119"/>
      <c r="J344" s="119"/>
      <c r="K344" s="119">
        <f>P320</f>
        <v>48.512043673192963</v>
      </c>
      <c r="L344" s="119"/>
      <c r="M344" s="119"/>
      <c r="N344" s="119"/>
      <c r="O344" s="197">
        <f>P321</f>
        <v>9.5049764343598409E-2</v>
      </c>
      <c r="P344" s="197"/>
      <c r="Q344" s="197"/>
      <c r="R344" s="197"/>
      <c r="X344" s="84">
        <f>O344</f>
        <v>9.5049764343598409E-2</v>
      </c>
      <c r="Y344" s="4" t="str">
        <f>A344</f>
        <v>Critério de Arley</v>
      </c>
      <c r="Z344" s="82">
        <f>G344</f>
        <v>510.38573328625245</v>
      </c>
      <c r="AA344" s="82">
        <f>K344</f>
        <v>48.512043673192963</v>
      </c>
    </row>
    <row r="346" spans="1:27" ht="20.100000000000001" customHeight="1" x14ac:dyDescent="0.25">
      <c r="A346" s="109" t="s">
        <v>61</v>
      </c>
      <c r="B346" s="109"/>
      <c r="C346" s="109"/>
      <c r="D346" s="109"/>
      <c r="E346" s="109"/>
      <c r="F346" s="109"/>
      <c r="G346" s="164">
        <f>MIN(O342:R344)</f>
        <v>9.5049764343598409E-2</v>
      </c>
      <c r="H346" s="164"/>
      <c r="I346" s="164"/>
      <c r="J346" s="164"/>
      <c r="K346" s="164"/>
      <c r="L346" s="164"/>
    </row>
    <row r="347" spans="1:27" ht="20.100000000000001" customHeight="1" x14ac:dyDescent="0.25">
      <c r="A347" s="120" t="s">
        <v>62</v>
      </c>
      <c r="B347" s="120"/>
      <c r="C347" s="120"/>
      <c r="D347" s="120"/>
      <c r="E347" s="120"/>
      <c r="F347" s="120"/>
      <c r="G347" s="153" t="str">
        <f>VLOOKUP(G346,X342:Z344,2,0)</f>
        <v>Intervalo em torno da média</v>
      </c>
      <c r="H347" s="153"/>
      <c r="I347" s="153"/>
      <c r="J347" s="153"/>
      <c r="K347" s="153"/>
      <c r="L347" s="153"/>
    </row>
    <row r="348" spans="1:27" ht="20.100000000000001" customHeight="1" x14ac:dyDescent="0.25">
      <c r="A348" s="120" t="s">
        <v>63</v>
      </c>
      <c r="B348" s="120"/>
      <c r="C348" s="120"/>
      <c r="D348" s="120"/>
      <c r="E348" s="120"/>
      <c r="F348" s="120"/>
      <c r="G348" s="119">
        <f>VLOOKUP(G346,X342:Z344,3,0)</f>
        <v>510.38573328625245</v>
      </c>
      <c r="H348" s="119"/>
      <c r="I348" s="119"/>
      <c r="J348" s="119"/>
      <c r="K348" s="119"/>
      <c r="L348" s="119"/>
    </row>
    <row r="349" spans="1:27" ht="20.100000000000001" customHeight="1" x14ac:dyDescent="0.25">
      <c r="A349" s="120" t="s">
        <v>70</v>
      </c>
      <c r="B349" s="120"/>
      <c r="C349" s="120"/>
      <c r="D349" s="120"/>
      <c r="E349" s="120"/>
      <c r="F349" s="120"/>
      <c r="G349" s="119">
        <f>VLOOKUP(G346,X342:AA344,4,0)</f>
        <v>48.512043673192963</v>
      </c>
      <c r="H349" s="119"/>
      <c r="I349" s="119"/>
      <c r="J349" s="119"/>
      <c r="K349" s="119"/>
      <c r="L349" s="119"/>
    </row>
    <row r="352" spans="1:27" ht="20.100000000000001" customHeight="1" x14ac:dyDescent="0.25">
      <c r="A352" s="199" t="s">
        <v>494</v>
      </c>
      <c r="B352" s="199"/>
      <c r="C352" s="199"/>
      <c r="D352" s="199"/>
      <c r="E352" s="199"/>
      <c r="F352" s="199"/>
      <c r="G352" s="199"/>
      <c r="H352" s="199"/>
      <c r="I352" s="199"/>
      <c r="J352" s="199"/>
      <c r="K352" s="199"/>
      <c r="L352" s="199"/>
      <c r="M352" s="199"/>
      <c r="N352" s="199"/>
      <c r="O352" s="199"/>
      <c r="P352" s="199"/>
      <c r="Q352" s="199"/>
      <c r="R352" s="199"/>
    </row>
    <row r="354" spans="1:21" ht="60" customHeight="1" x14ac:dyDescent="0.25">
      <c r="A354" s="133" t="s">
        <v>262</v>
      </c>
      <c r="B354" s="133"/>
      <c r="C354" s="133"/>
      <c r="D354" s="133"/>
      <c r="E354" s="133"/>
      <c r="F354" s="133"/>
      <c r="G354" s="133"/>
      <c r="H354" s="133"/>
      <c r="I354" s="133"/>
      <c r="J354" s="133"/>
      <c r="K354" s="133"/>
      <c r="L354" s="133"/>
      <c r="M354" s="133"/>
      <c r="N354" s="133"/>
      <c r="O354" s="133"/>
      <c r="P354" s="133"/>
      <c r="Q354" s="133"/>
      <c r="R354" s="133"/>
    </row>
    <row r="356" spans="1:21" ht="20.100000000000001" customHeight="1" x14ac:dyDescent="0.25">
      <c r="A356" s="109" t="s">
        <v>36</v>
      </c>
      <c r="B356" s="109"/>
      <c r="C356" s="109"/>
      <c r="D356" s="109"/>
      <c r="E356" s="168">
        <f>G348</f>
        <v>510.38573328625245</v>
      </c>
      <c r="F356" s="174"/>
      <c r="G356" s="174"/>
      <c r="H356" s="174"/>
    </row>
    <row r="357" spans="1:21" ht="20.100000000000001" customHeight="1" x14ac:dyDescent="0.25">
      <c r="A357" s="120" t="s">
        <v>37</v>
      </c>
      <c r="B357" s="120"/>
      <c r="C357" s="120"/>
      <c r="D357" s="120"/>
      <c r="E357" s="118">
        <f>G349</f>
        <v>48.512043673192963</v>
      </c>
      <c r="F357" s="153"/>
      <c r="G357" s="153"/>
      <c r="H357" s="153"/>
    </row>
    <row r="358" spans="1:21" ht="20.100000000000001" customHeight="1" x14ac:dyDescent="0.25">
      <c r="A358" s="120" t="s">
        <v>264</v>
      </c>
      <c r="B358" s="120"/>
      <c r="C358" s="120"/>
      <c r="D358" s="120"/>
      <c r="E358" s="198">
        <v>12</v>
      </c>
      <c r="F358" s="198"/>
      <c r="G358" s="198"/>
      <c r="H358" s="198"/>
      <c r="S358" s="181" t="s">
        <v>279</v>
      </c>
      <c r="T358" s="181"/>
      <c r="U358" s="181"/>
    </row>
    <row r="359" spans="1:21" ht="20.100000000000001" customHeight="1" x14ac:dyDescent="0.25">
      <c r="A359" s="120" t="s">
        <v>69</v>
      </c>
      <c r="B359" s="120"/>
      <c r="C359" s="120"/>
      <c r="D359" s="120"/>
      <c r="E359" s="184">
        <v>0.8</v>
      </c>
      <c r="F359" s="184"/>
      <c r="G359" s="184"/>
      <c r="H359" s="184"/>
    </row>
    <row r="360" spans="1:21" ht="20.100000000000001" customHeight="1" x14ac:dyDescent="0.25">
      <c r="A360" s="120" t="s">
        <v>108</v>
      </c>
      <c r="B360" s="120"/>
      <c r="C360" s="120"/>
      <c r="D360" s="120"/>
      <c r="E360" s="195">
        <f>_xlfn.T.INV.2T(1-E359,E358-1)</f>
        <v>1.3634303180205409</v>
      </c>
      <c r="F360" s="195"/>
      <c r="G360" s="195"/>
      <c r="H360" s="195"/>
    </row>
    <row r="361" spans="1:21" ht="20.100000000000001" customHeight="1" x14ac:dyDescent="0.25">
      <c r="A361" s="129"/>
      <c r="B361" s="129"/>
      <c r="C361" s="129"/>
      <c r="D361" s="129"/>
      <c r="E361" s="183"/>
      <c r="F361" s="183"/>
      <c r="G361" s="183"/>
      <c r="H361" s="183"/>
    </row>
    <row r="362" spans="1:21" ht="20.100000000000001" customHeight="1" x14ac:dyDescent="0.25">
      <c r="A362" s="129"/>
      <c r="B362" s="129"/>
      <c r="C362" s="129"/>
      <c r="D362" s="129"/>
      <c r="E362" s="183"/>
      <c r="F362" s="183"/>
      <c r="G362" s="183"/>
      <c r="H362" s="183"/>
    </row>
    <row r="363" spans="1:21" ht="20.100000000000001" customHeight="1" x14ac:dyDescent="0.25">
      <c r="A363" s="117" t="s">
        <v>69</v>
      </c>
      <c r="B363" s="117"/>
      <c r="C363" s="117"/>
      <c r="D363" s="117"/>
      <c r="E363" s="117"/>
      <c r="F363" s="117"/>
      <c r="G363" s="117"/>
      <c r="H363" s="117"/>
      <c r="I363" s="117"/>
      <c r="J363" s="117"/>
      <c r="K363" s="117"/>
      <c r="L363" s="117"/>
      <c r="M363" s="117"/>
      <c r="N363" s="117"/>
      <c r="O363" s="117"/>
      <c r="P363" s="117"/>
      <c r="Q363" s="117"/>
      <c r="R363" s="117"/>
    </row>
    <row r="365" spans="1:21" ht="20.100000000000001" customHeight="1" x14ac:dyDescent="0.25">
      <c r="A365" s="109" t="s">
        <v>44</v>
      </c>
      <c r="B365" s="109"/>
      <c r="C365" s="109"/>
      <c r="D365" s="109"/>
      <c r="E365" s="168">
        <f>E356-(_xlfn.CONFIDENCE.T(1-E359,E357,E358))</f>
        <v>491.2919541534086</v>
      </c>
      <c r="F365" s="174"/>
      <c r="G365" s="174"/>
      <c r="H365" s="174"/>
      <c r="K365" s="109" t="s">
        <v>71</v>
      </c>
      <c r="L365" s="109"/>
      <c r="M365" s="109"/>
      <c r="N365" s="109"/>
      <c r="O365" s="168">
        <f>E366-E365</f>
        <v>38.187558265687699</v>
      </c>
      <c r="P365" s="174"/>
      <c r="Q365" s="174"/>
      <c r="R365" s="174"/>
    </row>
    <row r="366" spans="1:21" ht="20.100000000000001" customHeight="1" x14ac:dyDescent="0.25">
      <c r="A366" s="109" t="s">
        <v>45</v>
      </c>
      <c r="B366" s="109"/>
      <c r="C366" s="109"/>
      <c r="D366" s="109"/>
      <c r="E366" s="168">
        <f>E356+(_xlfn.CONFIDENCE.T(1-E359,E357,E358))</f>
        <v>529.4795124190963</v>
      </c>
      <c r="F366" s="174"/>
      <c r="G366" s="174"/>
      <c r="H366" s="174"/>
      <c r="K366" s="109" t="s">
        <v>36</v>
      </c>
      <c r="L366" s="109"/>
      <c r="M366" s="109"/>
      <c r="N366" s="109"/>
      <c r="O366" s="168">
        <f>E356</f>
        <v>510.38573328625245</v>
      </c>
      <c r="P366" s="174"/>
      <c r="Q366" s="174"/>
      <c r="R366" s="174"/>
    </row>
    <row r="367" spans="1:21" ht="20.100000000000001" customHeight="1" x14ac:dyDescent="0.25">
      <c r="K367" s="109" t="s">
        <v>72</v>
      </c>
      <c r="L367" s="109"/>
      <c r="M367" s="109"/>
      <c r="N367" s="109"/>
      <c r="O367" s="185">
        <f>O365/O366</f>
        <v>7.4820975147183458E-2</v>
      </c>
      <c r="P367" s="185"/>
      <c r="Q367" s="185"/>
      <c r="R367" s="185"/>
    </row>
    <row r="369" spans="1:66" ht="20.100000000000001" customHeight="1" x14ac:dyDescent="0.25">
      <c r="A369" s="182" t="str" cm="1">
        <f t="array" ref="A369">_xlfn.IFS(O367&lt;=0.3,W374,AND(O367&gt;0.3,O367&lt;=0.4),W375,AND(O367&gt;0.4,O367&lt;=0.5),W376,O367&gt;0.5,W377)</f>
        <v>O grau de precisão calculado foi inferior a 30% (trinta por cento); em razão disso, o laudo atingiu o grau de fundamentação III, máximo previsto na tabela 5 do item 9.2.3 da NBR 14653-2:2011 (Avaliação de bens. Parte 2: Imóveis urbanos).</v>
      </c>
      <c r="B369" s="182"/>
      <c r="C369" s="182"/>
      <c r="D369" s="182"/>
      <c r="E369" s="182"/>
      <c r="F369" s="182"/>
      <c r="G369" s="182"/>
      <c r="H369" s="182"/>
      <c r="I369" s="182"/>
      <c r="J369" s="182"/>
      <c r="K369" s="182"/>
      <c r="L369" s="182"/>
      <c r="M369" s="182"/>
      <c r="N369" s="182"/>
      <c r="O369" s="182"/>
      <c r="P369" s="182"/>
      <c r="Q369" s="182"/>
      <c r="R369" s="182"/>
    </row>
    <row r="370" spans="1:66" ht="20.100000000000001" customHeight="1" x14ac:dyDescent="0.25">
      <c r="A370" s="182"/>
      <c r="B370" s="182"/>
      <c r="C370" s="182"/>
      <c r="D370" s="182"/>
      <c r="E370" s="182"/>
      <c r="F370" s="182"/>
      <c r="G370" s="182"/>
      <c r="H370" s="182"/>
      <c r="I370" s="182"/>
      <c r="J370" s="182"/>
      <c r="K370" s="182"/>
      <c r="L370" s="182"/>
      <c r="M370" s="182"/>
      <c r="N370" s="182"/>
      <c r="O370" s="182"/>
      <c r="P370" s="182"/>
      <c r="Q370" s="182"/>
      <c r="R370" s="182"/>
      <c r="BG370" s="4"/>
      <c r="BH370" s="4"/>
      <c r="BI370" s="4"/>
      <c r="BJ370" s="4"/>
      <c r="BK370" s="4"/>
      <c r="BL370" s="4"/>
      <c r="BM370" s="4"/>
      <c r="BN370" s="4"/>
    </row>
    <row r="371" spans="1:66" ht="20.100000000000001" customHeight="1" x14ac:dyDescent="0.2">
      <c r="A371" s="13"/>
      <c r="B371" s="13"/>
      <c r="C371" s="13"/>
      <c r="D371" s="13"/>
      <c r="E371" s="13"/>
      <c r="F371" s="13"/>
      <c r="G371" s="13"/>
      <c r="H371" s="13"/>
      <c r="I371" s="13"/>
      <c r="J371" s="13"/>
      <c r="K371" s="13"/>
      <c r="L371" s="13"/>
      <c r="M371" s="13"/>
      <c r="N371" s="13"/>
      <c r="O371" s="13"/>
      <c r="P371" s="13"/>
      <c r="Q371" s="13"/>
      <c r="R371" s="13"/>
      <c r="BG371" s="4"/>
      <c r="BH371" s="4"/>
      <c r="BI371" s="4"/>
      <c r="BJ371" s="4"/>
      <c r="BK371" s="4"/>
      <c r="BL371" s="4"/>
      <c r="BM371" s="4"/>
      <c r="BN371" s="4"/>
    </row>
    <row r="372" spans="1:66" ht="20.100000000000001" customHeight="1" x14ac:dyDescent="0.25">
      <c r="A372" s="156" t="s">
        <v>93</v>
      </c>
      <c r="B372" s="156"/>
      <c r="C372" s="156"/>
      <c r="D372" s="156"/>
      <c r="E372" s="156"/>
      <c r="F372" s="156"/>
      <c r="G372" s="156"/>
      <c r="H372" s="156"/>
      <c r="I372" s="156"/>
      <c r="J372" s="156"/>
      <c r="K372" s="156"/>
      <c r="L372" s="156"/>
      <c r="M372" s="156"/>
      <c r="N372" s="156"/>
      <c r="O372" s="156"/>
      <c r="P372" s="156"/>
      <c r="Q372" s="156"/>
      <c r="R372" s="156"/>
      <c r="BG372" s="4"/>
      <c r="BH372" s="4"/>
      <c r="BI372" s="4"/>
      <c r="BJ372" s="4"/>
      <c r="BK372" s="4"/>
      <c r="BL372" s="4"/>
      <c r="BM372" s="4"/>
      <c r="BN372" s="4"/>
    </row>
    <row r="373" spans="1:66" ht="20.100000000000001" customHeight="1" x14ac:dyDescent="0.25">
      <c r="A373" s="156"/>
      <c r="B373" s="156"/>
      <c r="C373" s="156"/>
      <c r="D373" s="156"/>
      <c r="E373" s="156"/>
      <c r="F373" s="156"/>
      <c r="G373" s="156"/>
      <c r="H373" s="156"/>
      <c r="I373" s="156"/>
      <c r="J373" s="156"/>
      <c r="K373" s="156"/>
      <c r="L373" s="156"/>
      <c r="M373" s="156"/>
      <c r="N373" s="156"/>
      <c r="O373" s="156"/>
      <c r="P373" s="156"/>
      <c r="Q373" s="156"/>
      <c r="R373" s="156"/>
      <c r="BG373" s="4"/>
      <c r="BH373" s="4"/>
      <c r="BI373" s="4"/>
      <c r="BJ373" s="4"/>
      <c r="BK373" s="4"/>
      <c r="BL373" s="4"/>
      <c r="BM373" s="4"/>
      <c r="BN373" s="4"/>
    </row>
    <row r="374" spans="1:66" ht="20.100000000000001" customHeight="1" x14ac:dyDescent="0.25">
      <c r="A374" s="157" t="s">
        <v>90</v>
      </c>
      <c r="B374" s="157"/>
      <c r="C374" s="157"/>
      <c r="D374" s="157"/>
      <c r="E374" s="157"/>
      <c r="F374" s="157"/>
      <c r="G374" s="157"/>
      <c r="H374" s="157"/>
      <c r="I374" s="157"/>
      <c r="J374" s="157"/>
      <c r="K374" s="157"/>
      <c r="L374" s="157"/>
      <c r="M374" s="157"/>
      <c r="N374" s="157"/>
      <c r="O374" s="157"/>
      <c r="P374" s="157"/>
      <c r="Q374" s="157"/>
      <c r="R374" s="157"/>
      <c r="W374" s="180" t="s">
        <v>116</v>
      </c>
      <c r="X374" s="180"/>
      <c r="Y374" s="180"/>
      <c r="Z374" s="180"/>
      <c r="AA374" s="180"/>
      <c r="AB374" s="180"/>
      <c r="AC374" s="180"/>
      <c r="AD374" s="180"/>
      <c r="AE374" s="180"/>
      <c r="AF374" s="180"/>
      <c r="AG374" s="180"/>
      <c r="AH374" s="180"/>
      <c r="AI374" s="180"/>
      <c r="AJ374" s="180"/>
      <c r="AK374" s="180"/>
      <c r="AL374" s="180"/>
      <c r="AM374" s="180"/>
      <c r="AN374" s="180"/>
      <c r="AO374" s="180"/>
      <c r="AP374" s="180"/>
      <c r="AQ374" s="180"/>
      <c r="AR374" s="180"/>
      <c r="AS374" s="180"/>
      <c r="AT374" s="180"/>
      <c r="AU374" s="180"/>
      <c r="AV374" s="180"/>
      <c r="AW374" s="180"/>
      <c r="AX374" s="180"/>
      <c r="AY374" s="180"/>
      <c r="AZ374" s="180"/>
      <c r="BA374" s="180"/>
      <c r="BB374" s="180"/>
      <c r="BC374" s="180"/>
      <c r="BD374" s="180"/>
      <c r="BE374" s="180"/>
      <c r="BF374" s="180"/>
      <c r="BG374" s="180"/>
      <c r="BH374" s="180"/>
      <c r="BI374" s="180"/>
      <c r="BJ374" s="180"/>
      <c r="BK374" s="180"/>
      <c r="BL374" s="180"/>
      <c r="BM374" s="180"/>
      <c r="BN374" s="180"/>
    </row>
    <row r="375" spans="1:66" ht="20.100000000000001" customHeight="1" x14ac:dyDescent="0.25">
      <c r="A375" s="157"/>
      <c r="B375" s="157"/>
      <c r="C375" s="157"/>
      <c r="D375" s="157"/>
      <c r="E375" s="157"/>
      <c r="F375" s="157"/>
      <c r="G375" s="157"/>
      <c r="H375" s="157"/>
      <c r="I375" s="157"/>
      <c r="J375" s="157"/>
      <c r="K375" s="157"/>
      <c r="L375" s="157"/>
      <c r="M375" s="157"/>
      <c r="N375" s="157"/>
      <c r="O375" s="157"/>
      <c r="P375" s="157"/>
      <c r="Q375" s="157"/>
      <c r="R375" s="157"/>
      <c r="W375" s="180" t="s">
        <v>117</v>
      </c>
      <c r="X375" s="180"/>
      <c r="Y375" s="180"/>
      <c r="Z375" s="180"/>
      <c r="AA375" s="180"/>
      <c r="AB375" s="180"/>
      <c r="AC375" s="180"/>
      <c r="AD375" s="180"/>
      <c r="AE375" s="180"/>
      <c r="AF375" s="180"/>
      <c r="AG375" s="180"/>
      <c r="AH375" s="180"/>
      <c r="AI375" s="180"/>
      <c r="AJ375" s="180"/>
      <c r="AK375" s="180"/>
      <c r="AL375" s="180"/>
      <c r="AM375" s="180"/>
      <c r="AN375" s="180"/>
      <c r="AO375" s="180"/>
      <c r="AP375" s="180"/>
      <c r="AQ375" s="180"/>
      <c r="AR375" s="180"/>
      <c r="AS375" s="180"/>
      <c r="AT375" s="180"/>
      <c r="AU375" s="180"/>
      <c r="AV375" s="180"/>
      <c r="AW375" s="180"/>
      <c r="AX375" s="180"/>
      <c r="AY375" s="180"/>
      <c r="AZ375" s="180"/>
      <c r="BA375" s="180"/>
      <c r="BB375" s="180"/>
      <c r="BC375" s="180"/>
      <c r="BD375" s="180"/>
      <c r="BE375" s="180"/>
      <c r="BF375" s="180"/>
      <c r="BG375" s="180"/>
      <c r="BH375" s="180"/>
      <c r="BI375" s="180"/>
      <c r="BJ375" s="180"/>
      <c r="BK375" s="180"/>
      <c r="BL375" s="180"/>
      <c r="BM375" s="180"/>
      <c r="BN375" s="180"/>
    </row>
    <row r="376" spans="1:66" ht="20.100000000000001" customHeight="1" x14ac:dyDescent="0.25">
      <c r="A376" s="158" t="s">
        <v>87</v>
      </c>
      <c r="B376" s="158"/>
      <c r="C376" s="158"/>
      <c r="D376" s="158"/>
      <c r="E376" s="158"/>
      <c r="F376" s="158"/>
      <c r="G376" s="158" t="s">
        <v>88</v>
      </c>
      <c r="H376" s="158"/>
      <c r="I376" s="158"/>
      <c r="J376" s="158"/>
      <c r="K376" s="158"/>
      <c r="L376" s="158"/>
      <c r="M376" s="158"/>
      <c r="N376" s="158"/>
      <c r="O376" s="158"/>
      <c r="P376" s="158"/>
      <c r="Q376" s="158"/>
      <c r="R376" s="158"/>
      <c r="W376" s="180" t="s">
        <v>118</v>
      </c>
      <c r="X376" s="180"/>
      <c r="Y376" s="180"/>
      <c r="Z376" s="180"/>
      <c r="AA376" s="180"/>
      <c r="AB376" s="180"/>
      <c r="AC376" s="180"/>
      <c r="AD376" s="180"/>
      <c r="AE376" s="180"/>
      <c r="AF376" s="180"/>
      <c r="AG376" s="180"/>
      <c r="AH376" s="180"/>
      <c r="AI376" s="180"/>
      <c r="AJ376" s="180"/>
      <c r="AK376" s="180"/>
      <c r="AL376" s="180"/>
      <c r="AM376" s="180"/>
      <c r="AN376" s="180"/>
      <c r="AO376" s="180"/>
      <c r="AP376" s="180"/>
      <c r="AQ376" s="180"/>
      <c r="AR376" s="180"/>
      <c r="AS376" s="180"/>
      <c r="AT376" s="180"/>
      <c r="AU376" s="180"/>
      <c r="AV376" s="180"/>
      <c r="AW376" s="180"/>
      <c r="AX376" s="180"/>
      <c r="AY376" s="180"/>
      <c r="AZ376" s="180"/>
      <c r="BA376" s="180"/>
      <c r="BB376" s="180"/>
      <c r="BC376" s="180"/>
      <c r="BD376" s="180"/>
      <c r="BE376" s="180"/>
      <c r="BF376" s="180"/>
      <c r="BG376" s="180"/>
      <c r="BH376" s="180"/>
      <c r="BI376" s="180"/>
      <c r="BJ376" s="180"/>
      <c r="BK376" s="180"/>
      <c r="BL376" s="180"/>
      <c r="BM376" s="180"/>
      <c r="BN376" s="180"/>
    </row>
    <row r="377" spans="1:66" ht="20.100000000000001" customHeight="1" x14ac:dyDescent="0.25">
      <c r="A377" s="158"/>
      <c r="B377" s="158"/>
      <c r="C377" s="158"/>
      <c r="D377" s="158"/>
      <c r="E377" s="158"/>
      <c r="F377" s="158"/>
      <c r="G377" s="158" t="s">
        <v>91</v>
      </c>
      <c r="H377" s="158"/>
      <c r="I377" s="158"/>
      <c r="J377" s="158"/>
      <c r="K377" s="158" t="s">
        <v>92</v>
      </c>
      <c r="L377" s="158"/>
      <c r="M377" s="158"/>
      <c r="N377" s="158"/>
      <c r="O377" s="158" t="s">
        <v>82</v>
      </c>
      <c r="P377" s="158"/>
      <c r="Q377" s="158"/>
      <c r="R377" s="158"/>
      <c r="W377" s="180" t="s">
        <v>280</v>
      </c>
      <c r="X377" s="180"/>
      <c r="Y377" s="180"/>
      <c r="Z377" s="180"/>
      <c r="AA377" s="180"/>
      <c r="AB377" s="180"/>
      <c r="AC377" s="180"/>
      <c r="AD377" s="180"/>
      <c r="AE377" s="180"/>
      <c r="AF377" s="180"/>
      <c r="AG377" s="180"/>
      <c r="AH377" s="180"/>
      <c r="AI377" s="180"/>
      <c r="AJ377" s="180"/>
      <c r="AK377" s="180"/>
      <c r="AL377" s="180"/>
      <c r="AM377" s="180"/>
      <c r="AN377" s="180"/>
      <c r="AO377" s="180"/>
      <c r="AP377" s="180"/>
      <c r="AQ377" s="180"/>
      <c r="AR377" s="180"/>
      <c r="AS377" s="180"/>
      <c r="AT377" s="180"/>
      <c r="AU377" s="180"/>
      <c r="AV377" s="180"/>
      <c r="AW377" s="180"/>
      <c r="AX377" s="180"/>
      <c r="AY377" s="180"/>
      <c r="AZ377" s="180"/>
      <c r="BA377" s="180"/>
      <c r="BB377" s="180"/>
      <c r="BC377" s="180"/>
      <c r="BD377" s="180"/>
      <c r="BE377" s="180"/>
      <c r="BF377" s="180"/>
      <c r="BG377" s="180"/>
      <c r="BH377" s="180"/>
      <c r="BI377" s="180"/>
      <c r="BJ377" s="180"/>
      <c r="BK377" s="180"/>
      <c r="BL377" s="180"/>
      <c r="BM377" s="180"/>
      <c r="BN377" s="180"/>
    </row>
    <row r="378" spans="1:66" ht="20.100000000000001" customHeight="1" x14ac:dyDescent="0.25">
      <c r="A378" s="176" t="s">
        <v>89</v>
      </c>
      <c r="B378" s="176"/>
      <c r="C378" s="176"/>
      <c r="D378" s="176"/>
      <c r="E378" s="176"/>
      <c r="F378" s="176"/>
      <c r="G378" s="166" t="s">
        <v>113</v>
      </c>
      <c r="H378" s="166"/>
      <c r="I378" s="166"/>
      <c r="J378" s="166"/>
      <c r="K378" s="166" t="s">
        <v>114</v>
      </c>
      <c r="L378" s="166"/>
      <c r="M378" s="166"/>
      <c r="N378" s="166"/>
      <c r="O378" s="166" t="s">
        <v>115</v>
      </c>
      <c r="P378" s="166"/>
      <c r="Q378" s="166"/>
      <c r="R378" s="166"/>
      <c r="BG378" s="4"/>
      <c r="BH378" s="4"/>
      <c r="BI378" s="4"/>
      <c r="BJ378" s="4"/>
      <c r="BK378" s="4"/>
      <c r="BL378" s="4"/>
      <c r="BM378" s="4"/>
      <c r="BN378" s="4"/>
    </row>
    <row r="379" spans="1:66" ht="20.100000000000001" customHeight="1" x14ac:dyDescent="0.25">
      <c r="A379" s="176"/>
      <c r="B379" s="176"/>
      <c r="C379" s="176"/>
      <c r="D379" s="176"/>
      <c r="E379" s="176"/>
      <c r="F379" s="176"/>
      <c r="G379" s="166"/>
      <c r="H379" s="166"/>
      <c r="I379" s="166"/>
      <c r="J379" s="166"/>
      <c r="K379" s="166"/>
      <c r="L379" s="166"/>
      <c r="M379" s="166"/>
      <c r="N379" s="166"/>
      <c r="O379" s="166"/>
      <c r="P379" s="166"/>
      <c r="Q379" s="166"/>
      <c r="R379" s="166"/>
      <c r="BG379" s="4"/>
      <c r="BH379" s="4"/>
      <c r="BI379" s="4"/>
      <c r="BJ379" s="4"/>
      <c r="BK379" s="4"/>
      <c r="BL379" s="4"/>
      <c r="BM379" s="4"/>
      <c r="BN379" s="4"/>
    </row>
    <row r="380" spans="1:66" ht="20.100000000000001" customHeight="1" x14ac:dyDescent="0.25">
      <c r="BG380" s="4"/>
      <c r="BH380" s="4"/>
      <c r="BI380" s="4"/>
      <c r="BJ380" s="4"/>
      <c r="BK380" s="4"/>
      <c r="BL380" s="4"/>
      <c r="BM380" s="4"/>
      <c r="BN380" s="4"/>
    </row>
    <row r="382" spans="1:66" ht="20.100000000000001" customHeight="1" x14ac:dyDescent="0.25">
      <c r="A382" s="117" t="s">
        <v>112</v>
      </c>
      <c r="B382" s="117"/>
      <c r="C382" s="117"/>
      <c r="D382" s="117"/>
      <c r="E382" s="117"/>
      <c r="F382" s="117"/>
      <c r="G382" s="117"/>
      <c r="H382" s="117"/>
      <c r="I382" s="117"/>
      <c r="J382" s="117"/>
      <c r="K382" s="117"/>
      <c r="L382" s="117"/>
      <c r="M382" s="117"/>
      <c r="N382" s="117"/>
      <c r="O382" s="117"/>
      <c r="P382" s="117"/>
      <c r="Q382" s="117"/>
      <c r="R382" s="117"/>
    </row>
    <row r="383" spans="1:66" ht="20.100000000000001" customHeight="1" x14ac:dyDescent="0.25">
      <c r="V383" s="106"/>
    </row>
    <row r="384" spans="1:66" ht="20.100000000000001" customHeight="1" x14ac:dyDescent="0.25">
      <c r="A384" s="109" t="s">
        <v>73</v>
      </c>
      <c r="B384" s="109"/>
      <c r="C384" s="109"/>
      <c r="D384" s="109"/>
      <c r="E384" s="109"/>
      <c r="F384" s="109"/>
      <c r="G384" s="109"/>
      <c r="H384" s="109"/>
      <c r="I384" s="109"/>
      <c r="J384" s="109"/>
      <c r="K384" s="109"/>
      <c r="L384" s="109"/>
      <c r="M384" s="165">
        <v>320</v>
      </c>
      <c r="N384" s="165"/>
      <c r="O384" s="165"/>
      <c r="P384" s="165"/>
      <c r="Q384" s="165"/>
      <c r="R384" s="165"/>
      <c r="V384" s="106"/>
    </row>
    <row r="385" spans="1:58" ht="20.100000000000001" customHeight="1" x14ac:dyDescent="0.25">
      <c r="A385" s="109" t="s">
        <v>74</v>
      </c>
      <c r="B385" s="109"/>
      <c r="C385" s="109"/>
      <c r="D385" s="109"/>
      <c r="E385" s="109"/>
      <c r="F385" s="109"/>
      <c r="G385" s="109"/>
      <c r="H385" s="109"/>
      <c r="I385" s="109"/>
      <c r="J385" s="109"/>
      <c r="K385" s="109"/>
      <c r="L385" s="109"/>
      <c r="M385" s="168">
        <f>E356</f>
        <v>510.38573328625245</v>
      </c>
      <c r="N385" s="168"/>
      <c r="O385" s="168"/>
      <c r="P385" s="168"/>
      <c r="Q385" s="168"/>
      <c r="R385" s="168"/>
    </row>
    <row r="386" spans="1:58" ht="20.100000000000001" customHeight="1" x14ac:dyDescent="0.25">
      <c r="A386" s="109" t="s">
        <v>112</v>
      </c>
      <c r="B386" s="109"/>
      <c r="C386" s="109"/>
      <c r="D386" s="109"/>
      <c r="E386" s="109"/>
      <c r="F386" s="109"/>
      <c r="G386" s="109"/>
      <c r="H386" s="109"/>
      <c r="I386" s="109"/>
      <c r="J386" s="109"/>
      <c r="K386" s="109"/>
      <c r="L386" s="109"/>
      <c r="M386" s="168">
        <f>M384*M385</f>
        <v>163323.43465160078</v>
      </c>
      <c r="N386" s="168"/>
      <c r="O386" s="168"/>
      <c r="P386" s="168"/>
      <c r="Q386" s="168"/>
      <c r="R386" s="168"/>
      <c r="AA386" s="85"/>
    </row>
    <row r="387" spans="1:58" ht="20.100000000000001" customHeight="1" x14ac:dyDescent="0.25">
      <c r="AA387" s="85"/>
    </row>
    <row r="389" spans="1:58" s="68" customFormat="1" ht="20.100000000000001" customHeight="1" x14ac:dyDescent="0.25">
      <c r="A389" s="161" t="s">
        <v>409</v>
      </c>
      <c r="B389" s="161"/>
      <c r="C389" s="161"/>
      <c r="D389" s="161"/>
      <c r="E389" s="161"/>
      <c r="F389" s="161"/>
      <c r="G389" s="161"/>
      <c r="H389" s="161"/>
      <c r="I389" s="161"/>
      <c r="J389" s="161"/>
      <c r="K389" s="161"/>
      <c r="L389" s="161"/>
      <c r="M389" s="161"/>
      <c r="N389" s="161"/>
      <c r="O389" s="161"/>
      <c r="P389" s="161"/>
      <c r="Q389" s="161"/>
      <c r="R389" s="161"/>
      <c r="S389" s="107"/>
      <c r="T389" s="107"/>
      <c r="U389" s="107"/>
      <c r="V389" s="86"/>
      <c r="W389" s="86"/>
      <c r="X389" s="86"/>
      <c r="Y389" s="86"/>
      <c r="Z389" s="86"/>
      <c r="AA389" s="86"/>
      <c r="AB389" s="86"/>
      <c r="AC389" s="86"/>
      <c r="AD389" s="86"/>
      <c r="AE389" s="86"/>
      <c r="AF389" s="86"/>
      <c r="AG389" s="73"/>
      <c r="AH389" s="73" t="s">
        <v>410</v>
      </c>
      <c r="AI389" s="73" t="s">
        <v>411</v>
      </c>
      <c r="AJ389" s="73"/>
      <c r="AK389" s="73"/>
      <c r="AL389" s="73"/>
      <c r="AM389" s="73"/>
      <c r="AN389" s="73"/>
      <c r="AO389" s="73"/>
      <c r="AP389" s="73"/>
      <c r="AQ389" s="73"/>
      <c r="AR389" s="73"/>
      <c r="AS389" s="73"/>
      <c r="AT389" s="73"/>
      <c r="AU389" s="73"/>
      <c r="AV389" s="73"/>
      <c r="AW389" s="73"/>
      <c r="AX389" s="73"/>
      <c r="AY389" s="73"/>
      <c r="AZ389" s="73"/>
      <c r="BA389" s="73"/>
      <c r="BB389" s="73"/>
      <c r="BC389" s="73"/>
      <c r="BD389" s="73"/>
      <c r="BE389" s="73"/>
      <c r="BF389" s="73"/>
    </row>
    <row r="390" spans="1:58" s="68" customFormat="1" ht="20.100000000000001" customHeight="1" x14ac:dyDescent="0.25">
      <c r="S390" s="107"/>
      <c r="T390" s="107"/>
      <c r="U390" s="107"/>
      <c r="V390" s="86"/>
      <c r="W390" s="73"/>
      <c r="X390" s="73"/>
      <c r="Y390" s="73"/>
      <c r="Z390" s="73"/>
      <c r="AA390" s="73"/>
      <c r="AB390" s="73"/>
      <c r="AC390" s="73"/>
      <c r="AD390" s="73"/>
      <c r="AE390" s="73"/>
      <c r="AF390" s="73"/>
      <c r="AG390" s="73"/>
      <c r="AH390" s="73" t="s">
        <v>412</v>
      </c>
      <c r="AI390" s="73" t="s">
        <v>413</v>
      </c>
      <c r="AJ390" s="73"/>
      <c r="AK390" s="73"/>
      <c r="AL390" s="73"/>
      <c r="AM390" s="73"/>
      <c r="AN390" s="73"/>
      <c r="AO390" s="73"/>
      <c r="AP390" s="73"/>
      <c r="AQ390" s="73"/>
      <c r="AR390" s="73"/>
      <c r="AS390" s="73"/>
      <c r="AT390" s="73"/>
      <c r="AU390" s="73"/>
      <c r="AV390" s="73"/>
      <c r="AW390" s="73"/>
      <c r="AX390" s="73"/>
      <c r="AY390" s="73"/>
      <c r="AZ390" s="73"/>
      <c r="BA390" s="73"/>
      <c r="BB390" s="73"/>
      <c r="BC390" s="73"/>
      <c r="BD390" s="73"/>
      <c r="BE390" s="73"/>
      <c r="BF390" s="73"/>
    </row>
    <row r="391" spans="1:58" s="68" customFormat="1" ht="20.100000000000001" customHeight="1" x14ac:dyDescent="0.25">
      <c r="A391" s="162" t="s">
        <v>470</v>
      </c>
      <c r="B391" s="162"/>
      <c r="C391" s="162"/>
      <c r="D391" s="162"/>
      <c r="E391" s="162"/>
      <c r="F391" s="162"/>
      <c r="G391" s="162"/>
      <c r="H391" s="162"/>
      <c r="I391" s="162"/>
      <c r="J391" s="162"/>
      <c r="K391" s="162"/>
      <c r="L391" s="162"/>
      <c r="M391" s="162"/>
      <c r="N391" s="162"/>
      <c r="O391" s="162"/>
      <c r="P391" s="162"/>
      <c r="Q391" s="162"/>
      <c r="R391" s="162"/>
      <c r="S391" s="107"/>
      <c r="T391" s="107"/>
      <c r="U391" s="107"/>
      <c r="V391" s="86"/>
      <c r="W391" s="73"/>
      <c r="X391" s="73"/>
      <c r="Y391" s="73"/>
      <c r="Z391" s="73"/>
      <c r="AA391" s="73"/>
      <c r="AB391" s="73"/>
      <c r="AC391" s="73"/>
      <c r="AD391" s="73"/>
      <c r="AE391" s="73"/>
      <c r="AF391" s="73"/>
      <c r="AG391" s="73"/>
      <c r="AH391" s="73" t="s">
        <v>414</v>
      </c>
      <c r="AI391" s="73" t="s">
        <v>415</v>
      </c>
      <c r="AJ391" s="73"/>
      <c r="AK391" s="73"/>
      <c r="AL391" s="73"/>
      <c r="AM391" s="73"/>
      <c r="AN391" s="73"/>
      <c r="AO391" s="73"/>
      <c r="AP391" s="73"/>
      <c r="AQ391" s="73"/>
      <c r="AR391" s="73"/>
      <c r="AS391" s="73"/>
      <c r="AT391" s="73"/>
      <c r="AU391" s="73"/>
      <c r="AV391" s="73"/>
      <c r="AW391" s="73"/>
      <c r="AX391" s="73"/>
      <c r="AY391" s="73"/>
      <c r="AZ391" s="73"/>
      <c r="BA391" s="73"/>
      <c r="BB391" s="73"/>
      <c r="BC391" s="73"/>
      <c r="BD391" s="73"/>
      <c r="BE391" s="73"/>
      <c r="BF391" s="73"/>
    </row>
    <row r="392" spans="1:58" s="68" customFormat="1" ht="20.100000000000001" customHeight="1" x14ac:dyDescent="0.25">
      <c r="A392" s="162"/>
      <c r="B392" s="162"/>
      <c r="C392" s="162"/>
      <c r="D392" s="162"/>
      <c r="E392" s="162"/>
      <c r="F392" s="162"/>
      <c r="G392" s="162"/>
      <c r="H392" s="162"/>
      <c r="I392" s="162"/>
      <c r="J392" s="162"/>
      <c r="K392" s="162"/>
      <c r="L392" s="162"/>
      <c r="M392" s="162"/>
      <c r="N392" s="162"/>
      <c r="O392" s="162"/>
      <c r="P392" s="162"/>
      <c r="Q392" s="162"/>
      <c r="R392" s="162"/>
      <c r="S392" s="107"/>
      <c r="T392" s="107"/>
      <c r="U392" s="107"/>
      <c r="V392" s="86"/>
      <c r="W392" s="73"/>
      <c r="X392" s="73"/>
      <c r="Y392" s="73"/>
      <c r="Z392" s="73"/>
      <c r="AA392" s="73"/>
      <c r="AB392" s="73"/>
      <c r="AC392" s="73"/>
      <c r="AD392" s="73"/>
      <c r="AE392" s="73"/>
      <c r="AF392" s="73"/>
      <c r="AG392" s="73"/>
      <c r="AH392" s="73" t="s">
        <v>416</v>
      </c>
      <c r="AI392" s="73"/>
      <c r="AJ392" s="73"/>
      <c r="AK392" s="73"/>
      <c r="AL392" s="73"/>
      <c r="AM392" s="73"/>
      <c r="AN392" s="73"/>
      <c r="AO392" s="73"/>
      <c r="AP392" s="73"/>
      <c r="AQ392" s="73"/>
      <c r="AR392" s="73"/>
      <c r="AS392" s="73"/>
      <c r="AT392" s="73"/>
      <c r="AU392" s="73"/>
      <c r="AV392" s="73"/>
      <c r="AW392" s="73"/>
      <c r="AX392" s="73"/>
      <c r="AY392" s="73"/>
      <c r="AZ392" s="73"/>
      <c r="BA392" s="73"/>
      <c r="BB392" s="73"/>
      <c r="BC392" s="73"/>
      <c r="BD392" s="73"/>
      <c r="BE392" s="73"/>
      <c r="BF392" s="73"/>
    </row>
    <row r="393" spans="1:58" s="68" customFormat="1" ht="20.100000000000001" customHeight="1" x14ac:dyDescent="0.25">
      <c r="A393" s="162"/>
      <c r="B393" s="162"/>
      <c r="C393" s="162"/>
      <c r="D393" s="162"/>
      <c r="E393" s="162"/>
      <c r="F393" s="162"/>
      <c r="G393" s="162"/>
      <c r="H393" s="162"/>
      <c r="I393" s="162"/>
      <c r="J393" s="162"/>
      <c r="K393" s="162"/>
      <c r="L393" s="162"/>
      <c r="M393" s="162"/>
      <c r="N393" s="162"/>
      <c r="O393" s="162"/>
      <c r="P393" s="162"/>
      <c r="Q393" s="162"/>
      <c r="R393" s="162"/>
      <c r="S393" s="107"/>
      <c r="T393" s="107"/>
      <c r="U393" s="107"/>
      <c r="V393" s="86"/>
      <c r="W393" s="73"/>
      <c r="X393" s="73"/>
      <c r="Y393" s="73"/>
      <c r="Z393" s="73"/>
      <c r="AA393" s="73"/>
      <c r="AB393" s="73"/>
      <c r="AC393" s="73"/>
      <c r="AD393" s="73"/>
      <c r="AE393" s="73"/>
      <c r="AF393" s="73"/>
      <c r="AG393" s="73"/>
      <c r="AH393" s="73" t="s">
        <v>417</v>
      </c>
      <c r="AI393" s="73" t="s">
        <v>418</v>
      </c>
      <c r="AJ393" s="73"/>
      <c r="AK393" s="73"/>
      <c r="AL393" s="73"/>
      <c r="AM393" s="73"/>
      <c r="AN393" s="73"/>
      <c r="AO393" s="73"/>
      <c r="AP393" s="73"/>
      <c r="AQ393" s="73"/>
      <c r="AR393" s="73"/>
      <c r="AS393" s="73"/>
      <c r="AT393" s="73"/>
      <c r="AU393" s="73"/>
      <c r="AV393" s="73"/>
      <c r="AW393" s="73"/>
      <c r="AX393" s="73"/>
      <c r="AY393" s="73"/>
      <c r="AZ393" s="73"/>
      <c r="BA393" s="73"/>
      <c r="BB393" s="73"/>
      <c r="BC393" s="73"/>
      <c r="BD393" s="73"/>
      <c r="BE393" s="73"/>
      <c r="BF393" s="73"/>
    </row>
    <row r="394" spans="1:58" s="68" customFormat="1" ht="20.100000000000001" customHeight="1" x14ac:dyDescent="0.25">
      <c r="A394" s="162"/>
      <c r="B394" s="162"/>
      <c r="C394" s="162"/>
      <c r="D394" s="162"/>
      <c r="E394" s="162"/>
      <c r="F394" s="162"/>
      <c r="G394" s="162"/>
      <c r="H394" s="162"/>
      <c r="I394" s="162"/>
      <c r="J394" s="162"/>
      <c r="K394" s="162"/>
      <c r="L394" s="162"/>
      <c r="M394" s="162"/>
      <c r="N394" s="162"/>
      <c r="O394" s="162"/>
      <c r="P394" s="162"/>
      <c r="Q394" s="162"/>
      <c r="R394" s="162"/>
      <c r="S394" s="107"/>
      <c r="T394" s="107"/>
      <c r="U394" s="107"/>
      <c r="V394" s="86"/>
      <c r="W394" s="73"/>
      <c r="X394" s="73"/>
      <c r="Y394" s="73"/>
      <c r="Z394" s="73"/>
      <c r="AA394" s="73"/>
      <c r="AB394" s="73"/>
      <c r="AC394" s="73"/>
      <c r="AD394" s="73"/>
      <c r="AE394" s="73"/>
      <c r="AF394" s="73"/>
      <c r="AG394" s="73"/>
      <c r="AH394" s="73" t="s">
        <v>419</v>
      </c>
      <c r="AI394" s="73" t="s">
        <v>420</v>
      </c>
      <c r="AJ394" s="73"/>
      <c r="AK394" s="73"/>
      <c r="AL394" s="73"/>
      <c r="AM394" s="73"/>
      <c r="AN394" s="73"/>
      <c r="AO394" s="73"/>
      <c r="AP394" s="73"/>
      <c r="AQ394" s="73"/>
      <c r="AR394" s="73"/>
      <c r="AS394" s="73"/>
      <c r="AT394" s="73"/>
      <c r="AU394" s="73"/>
      <c r="AV394" s="73"/>
      <c r="AW394" s="73"/>
      <c r="AX394" s="73"/>
      <c r="AY394" s="73"/>
      <c r="AZ394" s="73"/>
      <c r="BA394" s="73"/>
      <c r="BB394" s="73"/>
      <c r="BC394" s="73"/>
      <c r="BD394" s="73"/>
      <c r="BE394" s="73"/>
      <c r="BF394" s="73"/>
    </row>
    <row r="395" spans="1:58" s="68" customFormat="1" ht="20.100000000000001" customHeight="1" x14ac:dyDescent="0.25">
      <c r="S395" s="107"/>
      <c r="T395" s="107"/>
      <c r="U395" s="107"/>
      <c r="V395" s="86"/>
      <c r="W395" s="73"/>
      <c r="X395" s="73"/>
      <c r="Y395" s="73"/>
      <c r="Z395" s="73"/>
      <c r="AA395" s="73"/>
      <c r="AB395" s="73"/>
      <c r="AC395" s="73"/>
      <c r="AD395" s="73"/>
      <c r="AE395" s="73"/>
      <c r="AF395" s="73"/>
      <c r="AG395" s="73"/>
      <c r="AH395" s="73" t="s">
        <v>421</v>
      </c>
      <c r="AI395" s="73" t="s">
        <v>422</v>
      </c>
      <c r="AJ395" s="73"/>
      <c r="AK395" s="73"/>
      <c r="AL395" s="73"/>
      <c r="AM395" s="73"/>
      <c r="AN395" s="73"/>
      <c r="AO395" s="73"/>
      <c r="AP395" s="73"/>
      <c r="AQ395" s="73"/>
      <c r="AR395" s="73"/>
      <c r="AS395" s="73"/>
      <c r="AT395" s="73"/>
      <c r="AU395" s="73"/>
      <c r="AV395" s="73"/>
      <c r="AW395" s="73"/>
      <c r="AX395" s="73"/>
      <c r="AY395" s="73"/>
      <c r="AZ395" s="73"/>
      <c r="BA395" s="73"/>
      <c r="BB395" s="73"/>
      <c r="BC395" s="73"/>
      <c r="BD395" s="73"/>
      <c r="BE395" s="73"/>
      <c r="BF395" s="73"/>
    </row>
    <row r="396" spans="1:58" s="68" customFormat="1" ht="20.100000000000001" customHeight="1" x14ac:dyDescent="0.25">
      <c r="A396" s="135" t="s">
        <v>423</v>
      </c>
      <c r="B396" s="135"/>
      <c r="C396" s="135"/>
      <c r="D396" s="136" t="s">
        <v>418</v>
      </c>
      <c r="E396" s="136"/>
      <c r="F396" s="136"/>
      <c r="G396" s="136"/>
      <c r="H396" s="136"/>
      <c r="I396" s="136"/>
      <c r="J396" s="135" t="s">
        <v>424</v>
      </c>
      <c r="K396" s="135"/>
      <c r="L396" s="135"/>
      <c r="M396" s="135"/>
      <c r="N396" s="74"/>
      <c r="O396" s="163" t="s">
        <v>413</v>
      </c>
      <c r="P396" s="163"/>
      <c r="Q396" s="163"/>
      <c r="R396" s="163"/>
      <c r="S396" s="107"/>
      <c r="T396" s="107"/>
      <c r="U396" s="107"/>
      <c r="V396" s="86"/>
      <c r="W396" s="73"/>
      <c r="X396" s="73"/>
      <c r="Y396" s="73"/>
      <c r="Z396" s="73"/>
      <c r="AA396" s="73"/>
      <c r="AB396" s="73"/>
      <c r="AC396" s="73"/>
      <c r="AD396" s="73"/>
      <c r="AE396" s="73"/>
      <c r="AF396" s="73"/>
      <c r="AG396" s="73"/>
      <c r="AH396" s="73" t="s">
        <v>425</v>
      </c>
      <c r="AI396" s="73" t="s">
        <v>64</v>
      </c>
      <c r="AJ396" s="73"/>
      <c r="AK396" s="73"/>
      <c r="AL396" s="73"/>
      <c r="AM396" s="73"/>
      <c r="AN396" s="73"/>
      <c r="AO396" s="73"/>
      <c r="AP396" s="73"/>
      <c r="AQ396" s="73"/>
      <c r="AR396" s="73"/>
      <c r="AS396" s="73"/>
      <c r="AT396" s="73"/>
      <c r="AU396" s="73"/>
      <c r="AV396" s="73"/>
      <c r="AW396" s="73"/>
      <c r="AX396" s="73"/>
      <c r="AY396" s="73"/>
      <c r="AZ396" s="73"/>
      <c r="BA396" s="73"/>
      <c r="BB396" s="73"/>
      <c r="BC396" s="73"/>
      <c r="BD396" s="73"/>
      <c r="BE396" s="73"/>
      <c r="BF396" s="73"/>
    </row>
    <row r="397" spans="1:58" s="68" customFormat="1" ht="20.100000000000001" customHeight="1" x14ac:dyDescent="0.25">
      <c r="A397" s="137" t="s">
        <v>426</v>
      </c>
      <c r="B397" s="137"/>
      <c r="C397" s="137"/>
      <c r="D397" s="159" t="s">
        <v>410</v>
      </c>
      <c r="E397" s="159"/>
      <c r="F397" s="159"/>
      <c r="G397" s="159"/>
      <c r="H397" s="159"/>
      <c r="I397" s="159"/>
      <c r="J397" s="137" t="s">
        <v>427</v>
      </c>
      <c r="K397" s="137"/>
      <c r="L397" s="137"/>
      <c r="M397" s="137"/>
      <c r="N397" s="75"/>
      <c r="O397" s="160" t="s">
        <v>428</v>
      </c>
      <c r="P397" s="160"/>
      <c r="Q397" s="160"/>
      <c r="R397" s="160"/>
      <c r="S397" s="107"/>
      <c r="T397" s="107"/>
      <c r="U397" s="107"/>
      <c r="V397" s="86"/>
      <c r="W397" s="73"/>
      <c r="X397" s="73"/>
      <c r="Y397" s="73"/>
      <c r="Z397" s="73"/>
      <c r="AA397" s="73"/>
      <c r="AB397" s="73"/>
      <c r="AC397" s="73"/>
      <c r="AD397" s="73"/>
      <c r="AE397" s="73"/>
      <c r="AF397" s="73"/>
      <c r="AG397" s="73"/>
      <c r="AH397" s="73" t="s">
        <v>429</v>
      </c>
      <c r="AI397" s="73"/>
      <c r="AJ397" s="73"/>
      <c r="AK397" s="73"/>
      <c r="AL397" s="73"/>
      <c r="AM397" s="73"/>
      <c r="AN397" s="73"/>
      <c r="AO397" s="73"/>
      <c r="AP397" s="73"/>
      <c r="AQ397" s="73"/>
      <c r="AR397" s="73"/>
      <c r="AS397" s="73"/>
      <c r="AT397" s="73"/>
      <c r="AU397" s="73"/>
      <c r="AV397" s="73"/>
      <c r="AW397" s="73"/>
      <c r="AX397" s="73"/>
      <c r="AY397" s="73"/>
      <c r="AZ397" s="73"/>
      <c r="BA397" s="73"/>
      <c r="BB397" s="73"/>
      <c r="BC397" s="73"/>
      <c r="BD397" s="73"/>
      <c r="BE397" s="73"/>
      <c r="BF397" s="73"/>
    </row>
    <row r="398" spans="1:58" s="68" customFormat="1" ht="20.100000000000001" customHeight="1" x14ac:dyDescent="0.25">
      <c r="S398" s="107"/>
      <c r="T398" s="107"/>
      <c r="U398" s="107"/>
      <c r="V398" s="86"/>
      <c r="W398" s="73"/>
      <c r="X398" s="73"/>
      <c r="Y398" s="73"/>
      <c r="Z398" s="73"/>
      <c r="AA398" s="73"/>
      <c r="AB398" s="73"/>
      <c r="AC398" s="73"/>
      <c r="AD398" s="73"/>
      <c r="AE398" s="73"/>
      <c r="AF398" s="73"/>
      <c r="AG398" s="73"/>
      <c r="AH398" s="73"/>
      <c r="AI398" s="73"/>
      <c r="AJ398" s="73"/>
      <c r="AK398" s="73"/>
      <c r="AL398" s="73"/>
      <c r="AM398" s="73"/>
      <c r="AN398" s="73"/>
      <c r="AO398" s="73"/>
      <c r="AP398" s="73"/>
      <c r="AQ398" s="73"/>
      <c r="AR398" s="73"/>
      <c r="AS398" s="73"/>
      <c r="AT398" s="73"/>
      <c r="AU398" s="73"/>
      <c r="AV398" s="73"/>
      <c r="AW398" s="73"/>
      <c r="AX398" s="73"/>
      <c r="AY398" s="73"/>
      <c r="AZ398" s="73"/>
      <c r="BA398" s="73"/>
      <c r="BB398" s="73"/>
      <c r="BC398" s="73"/>
      <c r="BD398" s="73"/>
      <c r="BE398" s="73"/>
      <c r="BF398" s="73"/>
    </row>
    <row r="399" spans="1:58" s="68" customFormat="1" ht="20.100000000000001" customHeight="1" x14ac:dyDescent="0.25">
      <c r="A399" s="135" t="s">
        <v>430</v>
      </c>
      <c r="B399" s="135"/>
      <c r="C399" s="135"/>
      <c r="D399" s="135"/>
      <c r="E399" s="135"/>
      <c r="F399" s="135"/>
      <c r="G399" s="135"/>
      <c r="H399" s="135"/>
      <c r="I399" s="135"/>
      <c r="J399" s="135"/>
      <c r="K399" s="135"/>
      <c r="L399" s="167">
        <v>1997.51</v>
      </c>
      <c r="M399" s="167"/>
      <c r="N399" s="167"/>
      <c r="O399" s="167"/>
      <c r="P399" s="167"/>
      <c r="Q399" s="167"/>
      <c r="R399" s="167"/>
      <c r="S399" s="107"/>
      <c r="T399" s="107"/>
      <c r="U399" s="107"/>
      <c r="V399" s="86"/>
      <c r="W399" s="73"/>
      <c r="X399" s="73"/>
      <c r="Y399" s="73"/>
      <c r="Z399" s="73"/>
      <c r="AA399" s="73"/>
      <c r="AB399" s="73"/>
      <c r="AC399" s="73"/>
      <c r="AD399" s="73"/>
      <c r="AE399" s="73"/>
      <c r="AF399" s="73"/>
      <c r="AG399" s="73"/>
      <c r="AH399" s="73"/>
      <c r="AI399" s="73"/>
      <c r="AJ399" s="73"/>
      <c r="AK399" s="73"/>
      <c r="AL399" s="73"/>
      <c r="AM399" s="73"/>
      <c r="AN399" s="73"/>
      <c r="AO399" s="73"/>
      <c r="AP399" s="73"/>
      <c r="AQ399" s="73"/>
      <c r="AR399" s="73"/>
      <c r="AS399" s="73"/>
      <c r="AT399" s="73"/>
      <c r="AU399" s="73"/>
      <c r="AV399" s="73"/>
      <c r="AW399" s="73"/>
      <c r="AX399" s="73"/>
      <c r="AY399" s="73"/>
      <c r="AZ399" s="73"/>
      <c r="BA399" s="73"/>
      <c r="BB399" s="73"/>
      <c r="BC399" s="73"/>
      <c r="BD399" s="73"/>
      <c r="BE399" s="73"/>
      <c r="BF399" s="73"/>
    </row>
    <row r="400" spans="1:58" s="68" customFormat="1" ht="20.100000000000001" customHeight="1" x14ac:dyDescent="0.25">
      <c r="A400" s="135" t="s">
        <v>431</v>
      </c>
      <c r="B400" s="135"/>
      <c r="C400" s="135"/>
      <c r="D400" s="135"/>
      <c r="E400" s="135"/>
      <c r="F400" s="135"/>
      <c r="G400" s="135"/>
      <c r="H400" s="135"/>
      <c r="I400" s="135"/>
      <c r="J400" s="135"/>
      <c r="K400" s="135"/>
      <c r="L400" s="149">
        <v>62.35</v>
      </c>
      <c r="M400" s="149"/>
      <c r="N400" s="149"/>
      <c r="O400" s="149"/>
      <c r="P400" s="149"/>
      <c r="Q400" s="149"/>
      <c r="R400" s="149"/>
      <c r="S400" s="107"/>
      <c r="T400" s="107"/>
      <c r="U400" s="107"/>
      <c r="V400" s="86"/>
      <c r="W400" s="73"/>
      <c r="X400" s="73"/>
      <c r="Y400" s="73"/>
      <c r="Z400" s="73"/>
      <c r="AA400" s="73"/>
      <c r="AB400" s="73"/>
      <c r="AC400" s="73"/>
      <c r="AD400" s="73"/>
      <c r="AE400" s="73"/>
      <c r="AF400" s="73"/>
      <c r="AG400" s="73"/>
      <c r="AH400" s="73"/>
      <c r="AI400" s="73"/>
      <c r="AJ400" s="73"/>
      <c r="AK400" s="73"/>
      <c r="AL400" s="73"/>
      <c r="AM400" s="73"/>
      <c r="AN400" s="73"/>
      <c r="AO400" s="73"/>
      <c r="AP400" s="73"/>
      <c r="AQ400" s="73"/>
      <c r="AR400" s="73"/>
      <c r="AS400" s="73"/>
      <c r="AT400" s="73"/>
      <c r="AU400" s="73"/>
      <c r="AV400" s="73"/>
      <c r="AW400" s="73"/>
      <c r="AX400" s="73"/>
      <c r="AY400" s="73"/>
      <c r="AZ400" s="73"/>
      <c r="BA400" s="73"/>
      <c r="BB400" s="73"/>
      <c r="BC400" s="73"/>
      <c r="BD400" s="73"/>
      <c r="BE400" s="73"/>
      <c r="BF400" s="73"/>
    </row>
    <row r="401" spans="1:58" s="68" customFormat="1" ht="20.100000000000001" customHeight="1" x14ac:dyDescent="0.25">
      <c r="A401" s="135" t="s">
        <v>432</v>
      </c>
      <c r="B401" s="135"/>
      <c r="C401" s="135"/>
      <c r="D401" s="135"/>
      <c r="E401" s="135"/>
      <c r="F401" s="135"/>
      <c r="G401" s="135"/>
      <c r="H401" s="135"/>
      <c r="I401" s="135"/>
      <c r="J401" s="135"/>
      <c r="K401" s="135"/>
      <c r="L401" s="150">
        <f>L399*L400</f>
        <v>124544.7485</v>
      </c>
      <c r="M401" s="150"/>
      <c r="N401" s="150"/>
      <c r="O401" s="150"/>
      <c r="P401" s="150"/>
      <c r="Q401" s="150"/>
      <c r="R401" s="150"/>
      <c r="S401" s="107"/>
      <c r="T401" s="107"/>
      <c r="U401" s="107"/>
      <c r="V401" s="86"/>
      <c r="W401" s="73"/>
      <c r="X401" s="73"/>
      <c r="Y401" s="73"/>
      <c r="Z401" s="73"/>
      <c r="AA401" s="73"/>
      <c r="AB401" s="73"/>
      <c r="AC401" s="73"/>
      <c r="AD401" s="73"/>
      <c r="AE401" s="73"/>
      <c r="AF401" s="73"/>
      <c r="AG401" s="73"/>
      <c r="AH401" s="73"/>
      <c r="AI401" s="73"/>
      <c r="AJ401" s="73"/>
      <c r="AK401" s="73"/>
      <c r="AL401" s="73"/>
      <c r="AM401" s="73"/>
      <c r="AN401" s="73"/>
      <c r="AO401" s="73"/>
      <c r="AP401" s="73"/>
      <c r="AQ401" s="73"/>
      <c r="AR401" s="73"/>
      <c r="AS401" s="73"/>
      <c r="AT401" s="73"/>
      <c r="AU401" s="73"/>
      <c r="AV401" s="73"/>
      <c r="AW401" s="73"/>
      <c r="AX401" s="73"/>
      <c r="AY401" s="73"/>
      <c r="AZ401" s="73"/>
      <c r="BA401" s="73"/>
      <c r="BB401" s="73"/>
      <c r="BC401" s="73"/>
      <c r="BD401" s="73"/>
      <c r="BE401" s="73"/>
      <c r="BF401" s="73"/>
    </row>
    <row r="402" spans="1:58" s="68" customFormat="1" ht="20.100000000000001" customHeight="1" x14ac:dyDescent="0.25">
      <c r="S402" s="107"/>
      <c r="T402" s="107"/>
      <c r="U402" s="107"/>
      <c r="V402" s="86"/>
      <c r="W402" s="73"/>
      <c r="X402" s="73"/>
      <c r="Y402" s="73"/>
      <c r="Z402" s="73"/>
      <c r="AA402" s="73"/>
      <c r="AB402" s="73"/>
      <c r="AC402" s="73"/>
      <c r="AD402" s="73"/>
      <c r="AE402" s="73"/>
      <c r="AF402" s="73"/>
      <c r="AG402" s="73"/>
      <c r="AH402" s="73"/>
      <c r="AI402" s="73"/>
      <c r="AJ402" s="73"/>
      <c r="AK402" s="73"/>
      <c r="AL402" s="73"/>
      <c r="AM402" s="73"/>
      <c r="AN402" s="73"/>
      <c r="AO402" s="73"/>
      <c r="AP402" s="73"/>
      <c r="AQ402" s="73"/>
      <c r="AR402" s="73"/>
      <c r="AS402" s="73"/>
      <c r="AT402" s="73"/>
      <c r="AU402" s="73"/>
      <c r="AV402" s="73"/>
      <c r="AW402" s="73"/>
      <c r="AX402" s="73"/>
      <c r="AY402" s="73"/>
      <c r="AZ402" s="73"/>
      <c r="BA402" s="73"/>
      <c r="BB402" s="73"/>
      <c r="BC402" s="73"/>
      <c r="BD402" s="73"/>
      <c r="BE402" s="73"/>
      <c r="BF402" s="73"/>
    </row>
    <row r="403" spans="1:58" s="68" customFormat="1" ht="20.100000000000001" customHeight="1" x14ac:dyDescent="0.25">
      <c r="A403" s="141" t="s">
        <v>433</v>
      </c>
      <c r="B403" s="141"/>
      <c r="C403" s="141"/>
      <c r="D403" s="141"/>
      <c r="E403" s="141"/>
      <c r="F403" s="141"/>
      <c r="G403" s="141"/>
      <c r="H403" s="141"/>
      <c r="I403" s="141"/>
      <c r="J403" s="141"/>
      <c r="K403" s="141"/>
      <c r="L403" s="141"/>
      <c r="M403" s="141"/>
      <c r="N403" s="141"/>
      <c r="O403" s="141"/>
      <c r="P403" s="141"/>
      <c r="Q403" s="141"/>
      <c r="R403" s="141"/>
      <c r="S403" s="107"/>
      <c r="T403" s="107"/>
      <c r="U403" s="107"/>
      <c r="V403" s="86"/>
      <c r="W403" s="73"/>
      <c r="X403" s="73"/>
      <c r="Y403" s="73"/>
      <c r="Z403" s="73"/>
      <c r="AA403" s="73"/>
      <c r="AB403" s="73"/>
      <c r="AC403" s="73"/>
      <c r="AD403" s="73"/>
      <c r="AE403" s="73"/>
      <c r="AF403" s="73"/>
      <c r="AG403" s="73"/>
      <c r="AH403" s="73"/>
      <c r="AI403" s="73"/>
      <c r="AJ403" s="73"/>
      <c r="AK403" s="73"/>
      <c r="AL403" s="73"/>
      <c r="AM403" s="73"/>
      <c r="AN403" s="73"/>
      <c r="AO403" s="73"/>
      <c r="AP403" s="73"/>
      <c r="AQ403" s="73"/>
      <c r="AR403" s="73"/>
      <c r="AS403" s="73"/>
      <c r="AT403" s="73"/>
      <c r="AU403" s="73"/>
      <c r="AV403" s="73"/>
      <c r="AW403" s="73"/>
      <c r="AX403" s="73"/>
      <c r="AY403" s="73"/>
      <c r="AZ403" s="73"/>
      <c r="BA403" s="73"/>
      <c r="BB403" s="73"/>
      <c r="BC403" s="73"/>
      <c r="BD403" s="73"/>
      <c r="BE403" s="73"/>
      <c r="BF403" s="73"/>
    </row>
    <row r="404" spans="1:58" s="68" customFormat="1" ht="20.100000000000001" customHeight="1" x14ac:dyDescent="0.25">
      <c r="S404" s="107"/>
      <c r="T404" s="107"/>
      <c r="U404" s="107"/>
      <c r="V404" s="86"/>
      <c r="W404" s="73"/>
      <c r="X404" s="73"/>
      <c r="Y404" s="73"/>
      <c r="Z404" s="73"/>
      <c r="AA404" s="73"/>
      <c r="AB404" s="73"/>
      <c r="AC404" s="73"/>
      <c r="AD404" s="73"/>
      <c r="AE404" s="73"/>
      <c r="AF404" s="73"/>
      <c r="AG404" s="73"/>
      <c r="AH404" s="73"/>
      <c r="AI404" s="73"/>
      <c r="AJ404" s="73"/>
      <c r="AK404" s="73"/>
      <c r="AL404" s="73"/>
      <c r="AM404" s="73"/>
      <c r="AN404" s="73"/>
      <c r="AO404" s="73"/>
      <c r="AP404" s="73"/>
      <c r="AQ404" s="73"/>
      <c r="AR404" s="73"/>
      <c r="AS404" s="73"/>
      <c r="AT404" s="73"/>
      <c r="AU404" s="73"/>
      <c r="AV404" s="73"/>
      <c r="AW404" s="73"/>
      <c r="AX404" s="73"/>
      <c r="AY404" s="73"/>
      <c r="AZ404" s="73"/>
      <c r="BA404" s="73"/>
      <c r="BB404" s="73"/>
      <c r="BC404" s="73"/>
      <c r="BD404" s="73"/>
      <c r="BE404" s="73"/>
      <c r="BF404" s="73"/>
    </row>
    <row r="405" spans="1:58" s="68" customFormat="1" ht="20.100000000000001" customHeight="1" x14ac:dyDescent="0.25">
      <c r="A405" s="135" t="s">
        <v>434</v>
      </c>
      <c r="B405" s="135"/>
      <c r="C405" s="135"/>
      <c r="D405" s="135"/>
      <c r="E405" s="172">
        <v>20</v>
      </c>
      <c r="F405" s="172"/>
      <c r="G405" s="172"/>
      <c r="H405" s="172"/>
      <c r="S405" s="107"/>
      <c r="T405" s="107"/>
      <c r="U405" s="107"/>
      <c r="V405" s="86"/>
      <c r="W405" s="73"/>
      <c r="X405" s="73"/>
      <c r="Y405" s="73"/>
      <c r="Z405" s="73"/>
      <c r="AA405" s="73"/>
      <c r="AB405" s="73"/>
      <c r="AC405" s="73"/>
      <c r="AD405" s="73"/>
      <c r="AE405" s="73"/>
      <c r="AF405" s="73"/>
      <c r="AG405" s="73"/>
      <c r="AH405" s="73"/>
      <c r="AI405" s="73"/>
      <c r="AJ405" s="73"/>
      <c r="AK405" s="73"/>
      <c r="AL405" s="73"/>
      <c r="AM405" s="73"/>
      <c r="AN405" s="73"/>
      <c r="AO405" s="73"/>
      <c r="AP405" s="73"/>
      <c r="AQ405" s="73"/>
      <c r="AR405" s="73"/>
      <c r="AS405" s="73"/>
      <c r="AT405" s="73"/>
      <c r="AU405" s="73"/>
      <c r="AV405" s="73"/>
      <c r="AW405" s="73"/>
      <c r="AX405" s="73"/>
      <c r="AY405" s="73"/>
      <c r="AZ405" s="73"/>
      <c r="BA405" s="73"/>
      <c r="BB405" s="73"/>
      <c r="BC405" s="73"/>
      <c r="BD405" s="73"/>
      <c r="BE405" s="73"/>
      <c r="BF405" s="73"/>
    </row>
    <row r="406" spans="1:58" s="68" customFormat="1" ht="20.100000000000001" customHeight="1" x14ac:dyDescent="0.25">
      <c r="A406" s="135" t="s">
        <v>435</v>
      </c>
      <c r="B406" s="135"/>
      <c r="C406" s="135"/>
      <c r="D406" s="135"/>
      <c r="E406" s="173">
        <v>70</v>
      </c>
      <c r="F406" s="173"/>
      <c r="G406" s="173"/>
      <c r="H406" s="173"/>
      <c r="S406" s="107"/>
      <c r="T406" s="107"/>
      <c r="U406" s="107"/>
      <c r="V406" s="86"/>
      <c r="W406" s="73"/>
      <c r="X406" s="73"/>
      <c r="Y406" s="73"/>
      <c r="Z406" s="73"/>
      <c r="AA406" s="73"/>
      <c r="AB406" s="73"/>
      <c r="AC406" s="73"/>
      <c r="AD406" s="73"/>
      <c r="AE406" s="73"/>
      <c r="AF406" s="73"/>
      <c r="AG406" s="73"/>
      <c r="AH406" s="73"/>
      <c r="AI406" s="73"/>
      <c r="AJ406" s="73"/>
      <c r="AK406" s="73"/>
      <c r="AL406" s="73"/>
      <c r="AM406" s="73"/>
      <c r="AN406" s="73"/>
      <c r="AO406" s="73"/>
      <c r="AP406" s="73"/>
      <c r="AQ406" s="73"/>
      <c r="AR406" s="73"/>
      <c r="AS406" s="73"/>
      <c r="AT406" s="73"/>
      <c r="AU406" s="73"/>
      <c r="AV406" s="73"/>
      <c r="AW406" s="73"/>
      <c r="AX406" s="73"/>
      <c r="AY406" s="73"/>
      <c r="AZ406" s="73"/>
      <c r="BA406" s="73"/>
      <c r="BB406" s="73"/>
      <c r="BC406" s="73"/>
      <c r="BD406" s="73"/>
      <c r="BE406" s="73"/>
      <c r="BF406" s="73"/>
    </row>
    <row r="407" spans="1:58" s="68" customFormat="1" ht="20.100000000000001" customHeight="1" x14ac:dyDescent="0.25">
      <c r="A407" s="137" t="s">
        <v>436</v>
      </c>
      <c r="B407" s="137"/>
      <c r="C407" s="137"/>
      <c r="D407" s="137"/>
      <c r="E407" s="151">
        <f>E405/E406</f>
        <v>0.2857142857142857</v>
      </c>
      <c r="F407" s="151"/>
      <c r="G407" s="151"/>
      <c r="H407" s="151"/>
      <c r="S407" s="107"/>
      <c r="T407" s="107"/>
      <c r="U407" s="107"/>
      <c r="V407" s="86"/>
      <c r="W407" s="73"/>
      <c r="X407" s="73"/>
      <c r="Y407" s="73"/>
      <c r="Z407" s="73"/>
      <c r="AA407" s="73"/>
      <c r="AB407" s="73"/>
      <c r="AC407" s="73"/>
      <c r="AD407" s="73"/>
      <c r="AE407" s="73"/>
      <c r="AF407" s="73"/>
      <c r="AG407" s="73"/>
      <c r="AH407" s="73"/>
      <c r="AI407" s="73"/>
      <c r="AJ407" s="73"/>
      <c r="AK407" s="73"/>
      <c r="AL407" s="73"/>
      <c r="AM407" s="73"/>
      <c r="AN407" s="73"/>
      <c r="AO407" s="73"/>
      <c r="AP407" s="73"/>
      <c r="AQ407" s="73"/>
      <c r="AR407" s="73"/>
      <c r="AS407" s="73"/>
      <c r="AT407" s="73"/>
      <c r="AU407" s="73"/>
      <c r="AV407" s="73"/>
      <c r="AW407" s="73"/>
      <c r="AX407" s="73"/>
      <c r="AY407" s="73"/>
      <c r="AZ407" s="73"/>
      <c r="BA407" s="73"/>
      <c r="BB407" s="73"/>
      <c r="BC407" s="73"/>
      <c r="BD407" s="73"/>
      <c r="BE407" s="73"/>
      <c r="BF407" s="73"/>
    </row>
    <row r="408" spans="1:58" s="68" customFormat="1" ht="20.100000000000001" customHeight="1" x14ac:dyDescent="0.25">
      <c r="S408" s="107"/>
      <c r="T408" s="107"/>
      <c r="U408" s="107"/>
      <c r="V408" s="86"/>
      <c r="W408" s="73"/>
      <c r="X408" s="73"/>
      <c r="Y408" s="73"/>
      <c r="Z408" s="73"/>
      <c r="AA408" s="73"/>
      <c r="AB408" s="73"/>
      <c r="AC408" s="73"/>
      <c r="AD408" s="73"/>
      <c r="AE408" s="73"/>
      <c r="AF408" s="73"/>
      <c r="AG408" s="73"/>
      <c r="AH408" s="73"/>
      <c r="AI408" s="73"/>
      <c r="AJ408" s="73"/>
      <c r="AK408" s="73"/>
      <c r="AL408" s="73"/>
      <c r="AM408" s="73"/>
      <c r="AN408" s="73"/>
      <c r="AO408" s="73"/>
      <c r="AP408" s="73"/>
      <c r="AQ408" s="73"/>
      <c r="AR408" s="73"/>
      <c r="AS408" s="73"/>
      <c r="AT408" s="73"/>
      <c r="AU408" s="73"/>
      <c r="AV408" s="73"/>
      <c r="AW408" s="73"/>
      <c r="AX408" s="73"/>
      <c r="AY408" s="73"/>
      <c r="AZ408" s="73"/>
      <c r="BA408" s="73"/>
      <c r="BB408" s="73"/>
      <c r="BC408" s="73"/>
      <c r="BD408" s="73"/>
      <c r="BE408" s="73"/>
      <c r="BF408" s="73"/>
    </row>
    <row r="409" spans="1:58" s="68" customFormat="1" ht="20.100000000000001" customHeight="1" x14ac:dyDescent="0.25">
      <c r="A409" s="147" t="s">
        <v>437</v>
      </c>
      <c r="B409" s="147"/>
      <c r="C409" s="147"/>
      <c r="D409" s="147"/>
      <c r="E409" s="147"/>
      <c r="F409" s="147"/>
      <c r="G409" s="147"/>
      <c r="H409" s="147"/>
      <c r="I409" s="147"/>
      <c r="J409" s="147"/>
      <c r="K409" s="147"/>
      <c r="L409" s="147"/>
      <c r="M409" s="147"/>
      <c r="N409" s="147"/>
      <c r="O409" s="147"/>
      <c r="P409" s="147"/>
      <c r="Q409" s="147"/>
      <c r="R409" s="147"/>
      <c r="S409" s="107"/>
      <c r="T409" s="107"/>
      <c r="U409" s="107"/>
      <c r="V409" s="86"/>
      <c r="W409" s="73"/>
      <c r="X409" s="73"/>
      <c r="Y409" s="73"/>
      <c r="Z409" s="73"/>
      <c r="AA409" s="73"/>
      <c r="AB409" s="73"/>
      <c r="AC409" s="73"/>
      <c r="AD409" s="73"/>
      <c r="AE409" s="73"/>
      <c r="AF409" s="73"/>
      <c r="AG409" s="73"/>
      <c r="AH409" s="73"/>
      <c r="AI409" s="73"/>
      <c r="AJ409" s="73"/>
      <c r="AK409" s="73"/>
      <c r="AL409" s="73"/>
      <c r="AM409" s="73"/>
      <c r="AN409" s="73"/>
      <c r="AO409" s="73"/>
      <c r="AP409" s="73"/>
      <c r="AQ409" s="73"/>
      <c r="AR409" s="73"/>
      <c r="AS409" s="73"/>
      <c r="AT409" s="73"/>
      <c r="AU409" s="73"/>
      <c r="AV409" s="73"/>
      <c r="AW409" s="73"/>
      <c r="AX409" s="73"/>
      <c r="AY409" s="73"/>
      <c r="AZ409" s="73"/>
      <c r="BA409" s="73"/>
      <c r="BB409" s="73"/>
      <c r="BC409" s="73"/>
      <c r="BD409" s="73"/>
      <c r="BE409" s="73"/>
      <c r="BF409" s="73"/>
    </row>
    <row r="410" spans="1:58" s="68" customFormat="1" ht="20.100000000000001" customHeight="1" x14ac:dyDescent="0.25">
      <c r="S410" s="107"/>
      <c r="T410" s="107"/>
      <c r="U410" s="107"/>
      <c r="V410" s="86"/>
      <c r="W410" s="73"/>
      <c r="X410" s="73"/>
      <c r="Y410" s="73"/>
      <c r="Z410" s="73"/>
      <c r="AA410" s="73"/>
      <c r="AB410" s="73"/>
      <c r="AC410" s="73"/>
      <c r="AD410" s="73"/>
      <c r="AE410" s="73"/>
      <c r="AF410" s="73"/>
      <c r="AG410" s="73"/>
      <c r="AH410" s="73"/>
      <c r="AI410" s="73"/>
      <c r="AJ410" s="73"/>
      <c r="AK410" s="73"/>
      <c r="AL410" s="73"/>
      <c r="AM410" s="73"/>
      <c r="AN410" s="73"/>
      <c r="AO410" s="73"/>
      <c r="AP410" s="73"/>
      <c r="AQ410" s="73"/>
      <c r="AR410" s="73"/>
      <c r="AS410" s="73"/>
      <c r="AT410" s="73"/>
      <c r="AU410" s="73"/>
      <c r="AV410" s="73"/>
      <c r="AW410" s="73"/>
      <c r="AX410" s="73"/>
      <c r="AY410" s="73"/>
      <c r="AZ410" s="73"/>
      <c r="BA410" s="73"/>
      <c r="BB410" s="73"/>
      <c r="BC410" s="73"/>
      <c r="BD410" s="73"/>
      <c r="BE410" s="73"/>
      <c r="BF410" s="73"/>
    </row>
    <row r="411" spans="1:58" s="68" customFormat="1" ht="20.100000000000001" customHeight="1" x14ac:dyDescent="0.25">
      <c r="S411" s="107"/>
      <c r="T411" s="107"/>
      <c r="U411" s="107"/>
      <c r="V411" s="86"/>
      <c r="W411" s="73"/>
      <c r="X411" s="73"/>
      <c r="Y411" s="73"/>
      <c r="Z411" s="73"/>
      <c r="AA411" s="73"/>
      <c r="AB411" s="73"/>
      <c r="AC411" s="73"/>
      <c r="AD411" s="73"/>
      <c r="AE411" s="73"/>
      <c r="AF411" s="73"/>
      <c r="AG411" s="73"/>
      <c r="AH411" s="73"/>
      <c r="AI411" s="73"/>
      <c r="AJ411" s="73"/>
      <c r="AK411" s="73"/>
      <c r="AL411" s="73"/>
      <c r="AM411" s="73"/>
      <c r="AN411" s="73"/>
      <c r="AO411" s="73"/>
      <c r="AP411" s="73"/>
      <c r="AQ411" s="73"/>
      <c r="AR411" s="73"/>
      <c r="AS411" s="73"/>
      <c r="AT411" s="73"/>
      <c r="AU411" s="73"/>
      <c r="AV411" s="73"/>
      <c r="AW411" s="73"/>
      <c r="AX411" s="73"/>
      <c r="AY411" s="73"/>
      <c r="AZ411" s="73"/>
      <c r="BA411" s="73"/>
      <c r="BB411" s="73"/>
      <c r="BC411" s="73"/>
      <c r="BD411" s="73"/>
      <c r="BE411" s="73"/>
      <c r="BF411" s="73"/>
    </row>
    <row r="412" spans="1:58" s="68" customFormat="1" ht="20.100000000000001" customHeight="1" x14ac:dyDescent="0.25">
      <c r="S412" s="107"/>
      <c r="T412" s="107"/>
      <c r="U412" s="107"/>
      <c r="V412" s="86"/>
      <c r="W412" s="73"/>
      <c r="X412" s="73"/>
      <c r="Y412" s="73"/>
      <c r="Z412" s="73"/>
      <c r="AA412" s="73"/>
      <c r="AB412" s="73"/>
      <c r="AC412" s="73"/>
      <c r="AD412" s="73"/>
      <c r="AE412" s="73"/>
      <c r="AF412" s="73"/>
      <c r="AG412" s="73"/>
      <c r="AH412" s="73"/>
      <c r="AI412" s="73"/>
      <c r="AJ412" s="73"/>
      <c r="AK412" s="73"/>
      <c r="AL412" s="73"/>
      <c r="AM412" s="73"/>
      <c r="AN412" s="73"/>
      <c r="AO412" s="73"/>
      <c r="AP412" s="73"/>
      <c r="AQ412" s="73"/>
      <c r="AR412" s="73"/>
      <c r="AS412" s="73"/>
      <c r="AT412" s="73"/>
      <c r="AU412" s="73"/>
      <c r="AV412" s="73"/>
      <c r="AW412" s="73"/>
      <c r="AX412" s="73"/>
      <c r="AY412" s="73"/>
      <c r="AZ412" s="73"/>
      <c r="BA412" s="73"/>
      <c r="BB412" s="73"/>
      <c r="BC412" s="73"/>
      <c r="BD412" s="73"/>
      <c r="BE412" s="73"/>
      <c r="BF412" s="73"/>
    </row>
    <row r="413" spans="1:58" s="68" customFormat="1" ht="20.100000000000001" customHeight="1" x14ac:dyDescent="0.25">
      <c r="S413" s="107"/>
      <c r="T413" s="107"/>
      <c r="U413" s="107"/>
      <c r="V413" s="86"/>
      <c r="W413" s="73"/>
      <c r="X413" s="73"/>
      <c r="Y413" s="73"/>
      <c r="Z413" s="73"/>
      <c r="AA413" s="73"/>
      <c r="AB413" s="73"/>
      <c r="AC413" s="73"/>
      <c r="AD413" s="73"/>
      <c r="AE413" s="73"/>
      <c r="AF413" s="73"/>
      <c r="AG413" s="73"/>
      <c r="AH413" s="73"/>
      <c r="AI413" s="73"/>
      <c r="AJ413" s="73"/>
      <c r="AK413" s="73"/>
      <c r="AL413" s="73"/>
      <c r="AM413" s="73"/>
      <c r="AN413" s="73"/>
      <c r="AO413" s="73"/>
      <c r="AP413" s="73"/>
      <c r="AQ413" s="73"/>
      <c r="AR413" s="73"/>
      <c r="AS413" s="73"/>
      <c r="AT413" s="73"/>
      <c r="AU413" s="73"/>
      <c r="AV413" s="73"/>
      <c r="AW413" s="73"/>
      <c r="AX413" s="73"/>
      <c r="AY413" s="73"/>
      <c r="AZ413" s="73"/>
      <c r="BA413" s="73"/>
      <c r="BB413" s="73"/>
      <c r="BC413" s="73"/>
      <c r="BD413" s="73"/>
      <c r="BE413" s="73"/>
      <c r="BF413" s="73"/>
    </row>
    <row r="414" spans="1:58" s="68" customFormat="1" ht="20.100000000000001" customHeight="1" x14ac:dyDescent="0.25">
      <c r="S414" s="107"/>
      <c r="T414" s="107"/>
      <c r="U414" s="107"/>
      <c r="V414" s="86"/>
      <c r="W414" s="73"/>
      <c r="X414" s="73"/>
      <c r="Y414" s="73"/>
      <c r="Z414" s="73"/>
      <c r="AA414" s="73"/>
      <c r="AB414" s="73"/>
      <c r="AC414" s="73"/>
      <c r="AD414" s="73"/>
      <c r="AE414" s="73"/>
      <c r="AF414" s="73"/>
      <c r="AG414" s="73"/>
      <c r="AH414" s="73"/>
      <c r="AI414" s="73"/>
      <c r="AJ414" s="73"/>
      <c r="AK414" s="73"/>
      <c r="AL414" s="73"/>
      <c r="AM414" s="73"/>
      <c r="AN414" s="73"/>
      <c r="AO414" s="73"/>
      <c r="AP414" s="73"/>
      <c r="AQ414" s="73"/>
      <c r="AR414" s="73"/>
      <c r="AS414" s="73"/>
      <c r="AT414" s="73"/>
      <c r="AU414" s="73"/>
      <c r="AV414" s="73"/>
      <c r="AW414" s="73"/>
      <c r="AX414" s="73"/>
      <c r="AY414" s="73"/>
      <c r="AZ414" s="73"/>
      <c r="BA414" s="73"/>
      <c r="BB414" s="73"/>
      <c r="BC414" s="73"/>
      <c r="BD414" s="73"/>
      <c r="BE414" s="73"/>
      <c r="BF414" s="73"/>
    </row>
    <row r="415" spans="1:58" s="68" customFormat="1" ht="20.100000000000001" customHeight="1" x14ac:dyDescent="0.25">
      <c r="S415" s="107"/>
      <c r="T415" s="107"/>
      <c r="U415" s="107"/>
      <c r="V415" s="86"/>
      <c r="W415" s="73"/>
      <c r="X415" s="73"/>
      <c r="Y415" s="73"/>
      <c r="Z415" s="73"/>
      <c r="AA415" s="73"/>
      <c r="AB415" s="73"/>
      <c r="AC415" s="73"/>
      <c r="AD415" s="73"/>
      <c r="AE415" s="73"/>
      <c r="AF415" s="73"/>
      <c r="AG415" s="73"/>
      <c r="AH415" s="73"/>
      <c r="AI415" s="73"/>
      <c r="AJ415" s="73"/>
      <c r="AK415" s="73"/>
      <c r="AL415" s="73"/>
      <c r="AM415" s="73"/>
      <c r="AN415" s="73"/>
      <c r="AO415" s="73"/>
      <c r="AP415" s="73"/>
      <c r="AQ415" s="73"/>
      <c r="AR415" s="73"/>
      <c r="AS415" s="73"/>
      <c r="AT415" s="73"/>
      <c r="AU415" s="73"/>
      <c r="AV415" s="73"/>
      <c r="AW415" s="73"/>
      <c r="AX415" s="73"/>
      <c r="AY415" s="73"/>
      <c r="AZ415" s="73"/>
      <c r="BA415" s="73"/>
      <c r="BB415" s="73"/>
      <c r="BC415" s="73"/>
      <c r="BD415" s="73"/>
      <c r="BE415" s="73"/>
      <c r="BF415" s="73"/>
    </row>
    <row r="416" spans="1:58" s="68" customFormat="1" ht="20.100000000000001" customHeight="1" x14ac:dyDescent="0.25">
      <c r="S416" s="107"/>
      <c r="T416" s="107"/>
      <c r="U416" s="107"/>
      <c r="V416" s="86"/>
      <c r="W416" s="73"/>
      <c r="X416" s="73"/>
      <c r="Y416" s="73"/>
      <c r="Z416" s="73"/>
      <c r="AA416" s="73"/>
      <c r="AB416" s="73"/>
      <c r="AC416" s="73"/>
      <c r="AD416" s="73"/>
      <c r="AE416" s="73"/>
      <c r="AF416" s="73"/>
      <c r="AG416" s="73"/>
      <c r="AH416" s="73"/>
      <c r="AI416" s="73"/>
      <c r="AJ416" s="73"/>
      <c r="AK416" s="73"/>
      <c r="AL416" s="73"/>
      <c r="AM416" s="73"/>
      <c r="AN416" s="73"/>
      <c r="AO416" s="73"/>
      <c r="AP416" s="73"/>
      <c r="AQ416" s="73"/>
      <c r="AR416" s="73"/>
      <c r="AS416" s="73"/>
      <c r="AT416" s="73"/>
      <c r="AU416" s="73"/>
      <c r="AV416" s="73"/>
      <c r="AW416" s="73"/>
      <c r="AX416" s="73"/>
      <c r="AY416" s="73"/>
      <c r="AZ416" s="73"/>
      <c r="BA416" s="73"/>
      <c r="BB416" s="73"/>
      <c r="BC416" s="73"/>
      <c r="BD416" s="73"/>
      <c r="BE416" s="73"/>
      <c r="BF416" s="73"/>
    </row>
    <row r="417" spans="1:58" s="68" customFormat="1" ht="20.100000000000001" customHeight="1" x14ac:dyDescent="0.25">
      <c r="S417" s="107"/>
      <c r="T417" s="107"/>
      <c r="U417" s="107"/>
      <c r="V417" s="86"/>
      <c r="W417" s="73"/>
      <c r="X417" s="73"/>
      <c r="Y417" s="73"/>
      <c r="Z417" s="73"/>
      <c r="AA417" s="73"/>
      <c r="AB417" s="73"/>
      <c r="AC417" s="73"/>
      <c r="AD417" s="73"/>
      <c r="AE417" s="73"/>
      <c r="AF417" s="73"/>
      <c r="AG417" s="73"/>
      <c r="AH417" s="73"/>
      <c r="AI417" s="73"/>
      <c r="AJ417" s="73"/>
      <c r="AK417" s="73"/>
      <c r="AL417" s="73"/>
      <c r="AM417" s="73"/>
      <c r="AN417" s="73"/>
      <c r="AO417" s="73"/>
      <c r="AP417" s="73"/>
      <c r="AQ417" s="73"/>
      <c r="AR417" s="73"/>
      <c r="AS417" s="73"/>
      <c r="AT417" s="73"/>
      <c r="AU417" s="73"/>
      <c r="AV417" s="73"/>
      <c r="AW417" s="73"/>
      <c r="AX417" s="73"/>
      <c r="AY417" s="73"/>
      <c r="AZ417" s="73"/>
      <c r="BA417" s="73"/>
      <c r="BB417" s="73"/>
      <c r="BC417" s="73"/>
      <c r="BD417" s="73"/>
      <c r="BE417" s="73"/>
      <c r="BF417" s="73"/>
    </row>
    <row r="418" spans="1:58" s="68" customFormat="1" ht="20.100000000000001" customHeight="1" x14ac:dyDescent="0.25">
      <c r="S418" s="107"/>
      <c r="T418" s="107"/>
      <c r="U418" s="107"/>
      <c r="V418" s="86"/>
      <c r="W418" s="73"/>
      <c r="X418" s="73"/>
      <c r="Y418" s="73"/>
      <c r="Z418" s="73" t="s">
        <v>438</v>
      </c>
      <c r="AA418" s="73" t="s">
        <v>337</v>
      </c>
      <c r="AB418" s="73" t="s">
        <v>439</v>
      </c>
      <c r="AC418" s="73">
        <v>0</v>
      </c>
      <c r="AD418" s="73"/>
      <c r="AE418" s="73"/>
      <c r="AF418" s="73"/>
      <c r="AG418" s="73"/>
      <c r="AH418" s="73"/>
      <c r="AI418" s="73"/>
      <c r="AJ418" s="73"/>
      <c r="AK418" s="73"/>
      <c r="AL418" s="73"/>
      <c r="AM418" s="73"/>
      <c r="AN418" s="73"/>
      <c r="AO418" s="73"/>
      <c r="AP418" s="73"/>
      <c r="AQ418" s="73"/>
      <c r="AR418" s="73"/>
      <c r="AS418" s="73"/>
      <c r="AT418" s="73"/>
      <c r="AU418" s="73"/>
      <c r="AV418" s="73"/>
      <c r="AW418" s="73"/>
      <c r="AX418" s="73"/>
      <c r="AY418" s="73"/>
      <c r="AZ418" s="73"/>
      <c r="BA418" s="73"/>
      <c r="BB418" s="73"/>
      <c r="BC418" s="73"/>
      <c r="BD418" s="73"/>
      <c r="BE418" s="73"/>
      <c r="BF418" s="73"/>
    </row>
    <row r="419" spans="1:58" s="68" customFormat="1" ht="20.100000000000001" customHeight="1" x14ac:dyDescent="0.25">
      <c r="S419" s="107"/>
      <c r="T419" s="107"/>
      <c r="U419" s="107"/>
      <c r="V419" s="86"/>
      <c r="W419" s="73"/>
      <c r="X419" s="73"/>
      <c r="Y419" s="73"/>
      <c r="Z419" s="87">
        <f>1/2*((E405/E406)+(E405^2/E406^2))</f>
        <v>0.18367346938775508</v>
      </c>
      <c r="AA419" s="73" t="s">
        <v>339</v>
      </c>
      <c r="AB419" s="73" t="s">
        <v>440</v>
      </c>
      <c r="AC419" s="73">
        <v>0.32</v>
      </c>
      <c r="AD419" s="73"/>
      <c r="AE419" s="73"/>
      <c r="AF419" s="73"/>
      <c r="AG419" s="73"/>
      <c r="AH419" s="73"/>
      <c r="AI419" s="73"/>
      <c r="AJ419" s="73"/>
      <c r="AK419" s="73"/>
      <c r="AL419" s="73"/>
      <c r="AM419" s="73"/>
      <c r="AN419" s="73"/>
      <c r="AO419" s="73"/>
      <c r="AP419" s="73"/>
      <c r="AQ419" s="73"/>
      <c r="AR419" s="73"/>
      <c r="AS419" s="73"/>
      <c r="AT419" s="73"/>
      <c r="AU419" s="73"/>
      <c r="AV419" s="73"/>
      <c r="AW419" s="73"/>
      <c r="AX419" s="73"/>
      <c r="AY419" s="73"/>
      <c r="AZ419" s="73"/>
      <c r="BA419" s="73"/>
      <c r="BB419" s="73"/>
      <c r="BC419" s="73"/>
      <c r="BD419" s="73"/>
      <c r="BE419" s="73"/>
      <c r="BF419" s="73"/>
    </row>
    <row r="420" spans="1:58" s="68" customFormat="1" ht="20.100000000000001" customHeight="1" x14ac:dyDescent="0.25">
      <c r="S420" s="107"/>
      <c r="T420" s="107"/>
      <c r="U420" s="107"/>
      <c r="V420" s="86"/>
      <c r="W420" s="73"/>
      <c r="X420" s="73"/>
      <c r="Y420" s="73"/>
      <c r="Z420" s="73"/>
      <c r="AA420" s="73" t="s">
        <v>342</v>
      </c>
      <c r="AB420" s="73" t="s">
        <v>67</v>
      </c>
      <c r="AC420" s="73">
        <v>2.52</v>
      </c>
      <c r="AD420" s="73"/>
      <c r="AE420" s="73"/>
      <c r="AF420" s="73"/>
      <c r="AG420" s="73"/>
      <c r="AH420" s="73"/>
      <c r="AI420" s="73"/>
      <c r="AJ420" s="73"/>
      <c r="AK420" s="73"/>
      <c r="AL420" s="73"/>
      <c r="AM420" s="73"/>
      <c r="AN420" s="73"/>
      <c r="AO420" s="73"/>
      <c r="AP420" s="73"/>
      <c r="AQ420" s="73"/>
      <c r="AR420" s="73"/>
      <c r="AS420" s="73"/>
      <c r="AT420" s="73"/>
      <c r="AU420" s="73"/>
      <c r="AV420" s="73"/>
      <c r="AW420" s="73"/>
      <c r="AX420" s="73"/>
      <c r="AY420" s="73"/>
      <c r="AZ420" s="73"/>
      <c r="BA420" s="73"/>
      <c r="BB420" s="73"/>
      <c r="BC420" s="73"/>
      <c r="BD420" s="73"/>
      <c r="BE420" s="73"/>
      <c r="BF420" s="73"/>
    </row>
    <row r="421" spans="1:58" s="68" customFormat="1" ht="20.100000000000001" customHeight="1" x14ac:dyDescent="0.25">
      <c r="S421" s="107"/>
      <c r="T421" s="107"/>
      <c r="U421" s="107"/>
      <c r="V421" s="86"/>
      <c r="W421" s="73"/>
      <c r="X421" s="73"/>
      <c r="Y421" s="73"/>
      <c r="Z421" s="73"/>
      <c r="AA421" s="73" t="s">
        <v>344</v>
      </c>
      <c r="AB421" s="73" t="s">
        <v>441</v>
      </c>
      <c r="AC421" s="73">
        <v>8.09</v>
      </c>
      <c r="AD421" s="73"/>
      <c r="AE421" s="73"/>
      <c r="AF421" s="73"/>
      <c r="AG421" s="73"/>
      <c r="AH421" s="73"/>
      <c r="AI421" s="73"/>
      <c r="AJ421" s="73"/>
      <c r="AK421" s="73"/>
      <c r="AL421" s="73"/>
      <c r="AM421" s="73"/>
      <c r="AN421" s="73"/>
      <c r="AO421" s="73"/>
      <c r="AP421" s="73"/>
      <c r="AQ421" s="73"/>
      <c r="AR421" s="73"/>
      <c r="AS421" s="73"/>
      <c r="AT421" s="73"/>
      <c r="AU421" s="73"/>
      <c r="AV421" s="73"/>
      <c r="AW421" s="73"/>
      <c r="AX421" s="73"/>
      <c r="AY421" s="73"/>
      <c r="AZ421" s="73"/>
      <c r="BA421" s="73"/>
      <c r="BB421" s="73"/>
      <c r="BC421" s="73"/>
      <c r="BD421" s="73"/>
      <c r="BE421" s="73"/>
      <c r="BF421" s="73"/>
    </row>
    <row r="422" spans="1:58" s="68" customFormat="1" ht="20.100000000000001" customHeight="1" x14ac:dyDescent="0.25">
      <c r="A422" s="147" t="s">
        <v>442</v>
      </c>
      <c r="B422" s="147"/>
      <c r="C422" s="147"/>
      <c r="D422" s="147"/>
      <c r="E422" s="147"/>
      <c r="F422" s="147"/>
      <c r="G422" s="147"/>
      <c r="H422" s="147"/>
      <c r="I422" s="147"/>
      <c r="J422" s="147"/>
      <c r="K422" s="147"/>
      <c r="L422" s="147"/>
      <c r="M422" s="147"/>
      <c r="N422" s="147"/>
      <c r="O422" s="147"/>
      <c r="P422" s="147"/>
      <c r="Q422" s="147"/>
      <c r="R422" s="147"/>
      <c r="S422" s="107"/>
      <c r="T422" s="107"/>
      <c r="U422" s="107"/>
      <c r="V422" s="86"/>
      <c r="W422" s="73"/>
      <c r="X422" s="73"/>
      <c r="Y422" s="73"/>
      <c r="Z422" s="73"/>
      <c r="AA422" s="73" t="s">
        <v>347</v>
      </c>
      <c r="AB422" s="73" t="s">
        <v>443</v>
      </c>
      <c r="AC422" s="73">
        <v>18.100000000000001</v>
      </c>
      <c r="AD422" s="73"/>
      <c r="AE422" s="73"/>
      <c r="AF422" s="73"/>
      <c r="AG422" s="73"/>
      <c r="AH422" s="73"/>
      <c r="AI422" s="73"/>
      <c r="AJ422" s="73"/>
      <c r="AK422" s="73"/>
      <c r="AL422" s="73"/>
      <c r="AM422" s="73"/>
      <c r="AN422" s="73"/>
      <c r="AO422" s="73"/>
      <c r="AP422" s="73"/>
      <c r="AQ422" s="73"/>
      <c r="AR422" s="73"/>
      <c r="AS422" s="73"/>
      <c r="AT422" s="73"/>
      <c r="AU422" s="73"/>
      <c r="AV422" s="73"/>
      <c r="AW422" s="73"/>
      <c r="AX422" s="73"/>
      <c r="AY422" s="73"/>
      <c r="AZ422" s="73"/>
      <c r="BA422" s="73"/>
      <c r="BB422" s="73"/>
      <c r="BC422" s="73"/>
      <c r="BD422" s="73"/>
      <c r="BE422" s="73"/>
      <c r="BF422" s="73"/>
    </row>
    <row r="423" spans="1:58" s="68" customFormat="1" ht="20.100000000000001" customHeight="1" x14ac:dyDescent="0.25">
      <c r="S423" s="107"/>
      <c r="T423" s="107"/>
      <c r="U423" s="107"/>
      <c r="V423" s="86"/>
      <c r="W423" s="73"/>
      <c r="X423" s="73"/>
      <c r="Y423" s="73"/>
      <c r="Z423" s="73"/>
      <c r="AA423" s="73" t="s">
        <v>350</v>
      </c>
      <c r="AB423" s="73" t="s">
        <v>444</v>
      </c>
      <c r="AC423" s="73">
        <v>33.200000000000003</v>
      </c>
      <c r="AD423" s="73"/>
      <c r="AE423" s="73"/>
      <c r="AF423" s="73"/>
      <c r="AG423" s="73"/>
      <c r="AH423" s="73"/>
      <c r="AI423" s="73"/>
      <c r="AJ423" s="73"/>
      <c r="AK423" s="73"/>
      <c r="AL423" s="73"/>
      <c r="AM423" s="73"/>
      <c r="AN423" s="73"/>
      <c r="AO423" s="73"/>
      <c r="AP423" s="73"/>
      <c r="AQ423" s="73"/>
      <c r="AR423" s="73"/>
      <c r="AS423" s="73"/>
      <c r="AT423" s="73"/>
      <c r="AU423" s="73"/>
      <c r="AV423" s="73"/>
      <c r="AW423" s="73"/>
      <c r="AX423" s="73"/>
      <c r="AY423" s="73"/>
      <c r="AZ423" s="73"/>
      <c r="BA423" s="73"/>
      <c r="BB423" s="73"/>
      <c r="BC423" s="73"/>
      <c r="BD423" s="73"/>
      <c r="BE423" s="73"/>
      <c r="BF423" s="73"/>
    </row>
    <row r="424" spans="1:58" s="68" customFormat="1" ht="20.100000000000001" customHeight="1" x14ac:dyDescent="0.25">
      <c r="S424" s="107"/>
      <c r="T424" s="107"/>
      <c r="U424" s="107"/>
      <c r="V424" s="86"/>
      <c r="W424" s="73"/>
      <c r="X424" s="73"/>
      <c r="Y424" s="73"/>
      <c r="Z424" s="73"/>
      <c r="AA424" s="73" t="s">
        <v>353</v>
      </c>
      <c r="AB424" s="73" t="s">
        <v>445</v>
      </c>
      <c r="AC424" s="73">
        <v>52.6</v>
      </c>
      <c r="AD424" s="73"/>
      <c r="AE424" s="73"/>
      <c r="AF424" s="73"/>
      <c r="AG424" s="73"/>
      <c r="AH424" s="73"/>
      <c r="AI424" s="73"/>
      <c r="AJ424" s="73"/>
      <c r="AK424" s="73"/>
      <c r="AL424" s="73"/>
      <c r="AM424" s="73"/>
      <c r="AN424" s="73"/>
      <c r="AO424" s="73"/>
      <c r="AP424" s="73"/>
      <c r="AQ424" s="73"/>
      <c r="AR424" s="73"/>
      <c r="AS424" s="73"/>
      <c r="AT424" s="73"/>
      <c r="AU424" s="73"/>
      <c r="AV424" s="73"/>
      <c r="AW424" s="73"/>
      <c r="AX424" s="73"/>
      <c r="AY424" s="73"/>
      <c r="AZ424" s="73"/>
      <c r="BA424" s="73"/>
      <c r="BB424" s="73"/>
      <c r="BC424" s="73"/>
      <c r="BD424" s="73"/>
      <c r="BE424" s="73"/>
      <c r="BF424" s="73"/>
    </row>
    <row r="425" spans="1:58" s="68" customFormat="1" ht="20.100000000000001" customHeight="1" x14ac:dyDescent="0.25">
      <c r="S425" s="107"/>
      <c r="T425" s="107"/>
      <c r="U425" s="107"/>
      <c r="V425" s="86"/>
      <c r="W425" s="73"/>
      <c r="X425" s="73"/>
      <c r="Y425" s="73"/>
      <c r="Z425" s="73"/>
      <c r="AA425" s="73" t="s">
        <v>356</v>
      </c>
      <c r="AB425" s="73" t="s">
        <v>446</v>
      </c>
      <c r="AC425" s="73">
        <v>75.2</v>
      </c>
      <c r="AD425" s="73"/>
      <c r="AE425" s="73"/>
      <c r="AF425" s="73"/>
      <c r="AG425" s="73"/>
      <c r="AH425" s="73"/>
      <c r="AI425" s="73"/>
      <c r="AJ425" s="73"/>
      <c r="AK425" s="73"/>
      <c r="AL425" s="73"/>
      <c r="AM425" s="73"/>
      <c r="AN425" s="73"/>
      <c r="AO425" s="73"/>
      <c r="AP425" s="73"/>
      <c r="AQ425" s="73"/>
      <c r="AR425" s="73"/>
      <c r="AS425" s="73"/>
      <c r="AT425" s="73"/>
      <c r="AU425" s="73"/>
      <c r="AV425" s="73"/>
      <c r="AW425" s="73"/>
      <c r="AX425" s="73"/>
      <c r="AY425" s="73"/>
      <c r="AZ425" s="73"/>
      <c r="BA425" s="73"/>
      <c r="BB425" s="73"/>
      <c r="BC425" s="73"/>
      <c r="BD425" s="73"/>
      <c r="BE425" s="73"/>
      <c r="BF425" s="73"/>
    </row>
    <row r="426" spans="1:58" s="68" customFormat="1" ht="20.100000000000001" customHeight="1" x14ac:dyDescent="0.25">
      <c r="S426" s="107"/>
      <c r="T426" s="107"/>
      <c r="U426" s="107"/>
      <c r="V426" s="86"/>
      <c r="W426" s="73"/>
      <c r="X426" s="73"/>
      <c r="Y426" s="73"/>
      <c r="Z426" s="73"/>
      <c r="AA426" s="73" t="s">
        <v>82</v>
      </c>
      <c r="AB426" s="73" t="s">
        <v>447</v>
      </c>
      <c r="AC426" s="73">
        <v>100</v>
      </c>
      <c r="AD426" s="73"/>
      <c r="AE426" s="73"/>
      <c r="AF426" s="73"/>
      <c r="AG426" s="73"/>
      <c r="AH426" s="73"/>
      <c r="AI426" s="73"/>
      <c r="AJ426" s="73"/>
      <c r="AK426" s="73"/>
      <c r="AL426" s="73"/>
      <c r="AM426" s="73"/>
      <c r="AN426" s="73"/>
      <c r="AO426" s="73"/>
      <c r="AP426" s="73"/>
      <c r="AQ426" s="73"/>
      <c r="AR426" s="73"/>
      <c r="AS426" s="73"/>
      <c r="AT426" s="73"/>
      <c r="AU426" s="73"/>
      <c r="AV426" s="73"/>
      <c r="AW426" s="73"/>
      <c r="AX426" s="73"/>
      <c r="AY426" s="73"/>
      <c r="AZ426" s="73"/>
      <c r="BA426" s="73"/>
      <c r="BB426" s="73"/>
      <c r="BC426" s="73"/>
      <c r="BD426" s="73"/>
      <c r="BE426" s="73"/>
      <c r="BF426" s="73"/>
    </row>
    <row r="427" spans="1:58" s="68" customFormat="1" ht="20.100000000000001" customHeight="1" x14ac:dyDescent="0.25">
      <c r="A427" s="147" t="s">
        <v>448</v>
      </c>
      <c r="B427" s="147"/>
      <c r="C427" s="147"/>
      <c r="D427" s="147"/>
      <c r="E427" s="147"/>
      <c r="F427" s="136" t="s">
        <v>342</v>
      </c>
      <c r="G427" s="136"/>
      <c r="H427" s="136"/>
      <c r="I427" s="136"/>
      <c r="J427" s="136"/>
      <c r="K427" s="136"/>
      <c r="L427" s="136"/>
      <c r="S427" s="107"/>
      <c r="T427" s="107"/>
      <c r="U427" s="107"/>
      <c r="V427" s="86"/>
      <c r="W427" s="73"/>
      <c r="X427" s="73"/>
      <c r="Y427" s="73"/>
      <c r="Z427" s="73"/>
      <c r="AA427" s="73"/>
      <c r="AB427" s="73"/>
      <c r="AC427" s="73"/>
      <c r="AD427" s="73"/>
      <c r="AE427" s="73"/>
      <c r="AF427" s="73"/>
      <c r="AG427" s="73"/>
      <c r="AH427" s="73"/>
      <c r="AI427" s="73"/>
      <c r="AJ427" s="73"/>
      <c r="AK427" s="73"/>
      <c r="AL427" s="73"/>
      <c r="AM427" s="73"/>
      <c r="AN427" s="73"/>
      <c r="AO427" s="73"/>
      <c r="AP427" s="73"/>
      <c r="AQ427" s="73"/>
      <c r="AR427" s="73"/>
      <c r="AS427" s="73"/>
      <c r="AT427" s="73"/>
      <c r="AU427" s="73"/>
      <c r="AV427" s="73"/>
      <c r="AW427" s="73"/>
      <c r="AX427" s="73"/>
      <c r="AY427" s="73"/>
      <c r="AZ427" s="73"/>
      <c r="BA427" s="73"/>
      <c r="BB427" s="73"/>
      <c r="BC427" s="73"/>
      <c r="BD427" s="73"/>
      <c r="BE427" s="73"/>
      <c r="BF427" s="73"/>
    </row>
    <row r="428" spans="1:58" s="68" customFormat="1" ht="20.100000000000001" customHeight="1" x14ac:dyDescent="0.25">
      <c r="A428" s="137" t="s">
        <v>449</v>
      </c>
      <c r="B428" s="137"/>
      <c r="C428" s="137"/>
      <c r="D428" s="137"/>
      <c r="E428" s="137"/>
      <c r="F428" s="137" t="str">
        <f>VLOOKUP(F427,AA418:AC426,2,0)</f>
        <v>regular</v>
      </c>
      <c r="G428" s="137"/>
      <c r="H428" s="137"/>
      <c r="I428" s="137"/>
      <c r="J428" s="137"/>
      <c r="K428" s="137"/>
      <c r="L428" s="137"/>
      <c r="S428" s="107"/>
      <c r="T428" s="107"/>
      <c r="U428" s="107"/>
      <c r="V428" s="86"/>
      <c r="W428" s="73"/>
      <c r="X428" s="73"/>
      <c r="Y428" s="73"/>
      <c r="Z428" s="73"/>
      <c r="AA428" s="73"/>
      <c r="AB428" s="73"/>
      <c r="AC428" s="73"/>
      <c r="AD428" s="73"/>
      <c r="AE428" s="73"/>
      <c r="AF428" s="73"/>
      <c r="AG428" s="73"/>
      <c r="AH428" s="73"/>
      <c r="AI428" s="73"/>
      <c r="AJ428" s="73"/>
      <c r="AK428" s="73"/>
      <c r="AL428" s="73"/>
      <c r="AM428" s="73"/>
      <c r="AN428" s="73"/>
      <c r="AO428" s="73"/>
      <c r="AP428" s="73"/>
      <c r="AQ428" s="73"/>
      <c r="AR428" s="73"/>
      <c r="AS428" s="73"/>
      <c r="AT428" s="73"/>
      <c r="AU428" s="73"/>
      <c r="AV428" s="73"/>
      <c r="AW428" s="73"/>
      <c r="AX428" s="73"/>
      <c r="AY428" s="73"/>
      <c r="AZ428" s="73"/>
      <c r="BA428" s="73"/>
      <c r="BB428" s="73"/>
      <c r="BC428" s="73"/>
      <c r="BD428" s="73"/>
      <c r="BE428" s="73"/>
      <c r="BF428" s="73"/>
    </row>
    <row r="429" spans="1:58" s="68" customFormat="1" ht="20.100000000000001" customHeight="1" x14ac:dyDescent="0.25">
      <c r="A429" s="137" t="s">
        <v>450</v>
      </c>
      <c r="B429" s="137"/>
      <c r="C429" s="137"/>
      <c r="D429" s="137"/>
      <c r="E429" s="137"/>
      <c r="F429" s="170">
        <f>VLOOKUP(F427,AA418:AC426,3,0)</f>
        <v>2.52</v>
      </c>
      <c r="G429" s="170"/>
      <c r="H429" s="170"/>
      <c r="I429" s="170"/>
      <c r="J429" s="170"/>
      <c r="K429" s="170"/>
      <c r="L429" s="170"/>
      <c r="S429" s="107"/>
      <c r="T429" s="107"/>
      <c r="U429" s="107"/>
      <c r="V429" s="86"/>
      <c r="W429" s="73"/>
      <c r="X429" s="73"/>
      <c r="Y429" s="73"/>
      <c r="Z429" s="73"/>
      <c r="AA429" s="73"/>
      <c r="AB429" s="73"/>
      <c r="AC429" s="73"/>
      <c r="AD429" s="73"/>
      <c r="AE429" s="73"/>
      <c r="AF429" s="73"/>
      <c r="AG429" s="73"/>
      <c r="AH429" s="73"/>
      <c r="AI429" s="73"/>
      <c r="AJ429" s="73"/>
      <c r="AK429" s="73"/>
      <c r="AL429" s="73"/>
      <c r="AM429" s="73"/>
      <c r="AN429" s="73"/>
      <c r="AO429" s="73"/>
      <c r="AP429" s="73"/>
      <c r="AQ429" s="73"/>
      <c r="AR429" s="73"/>
      <c r="AS429" s="73"/>
      <c r="AT429" s="73"/>
      <c r="AU429" s="73"/>
      <c r="AV429" s="73"/>
      <c r="AW429" s="73"/>
      <c r="AX429" s="73"/>
      <c r="AY429" s="73"/>
      <c r="AZ429" s="73"/>
      <c r="BA429" s="73"/>
      <c r="BB429" s="73"/>
      <c r="BC429" s="73"/>
      <c r="BD429" s="73"/>
      <c r="BE429" s="73"/>
      <c r="BF429" s="73"/>
    </row>
    <row r="430" spans="1:58" s="68" customFormat="1" ht="20.100000000000001" customHeight="1" x14ac:dyDescent="0.25">
      <c r="S430" s="107"/>
      <c r="T430" s="107"/>
      <c r="U430" s="107"/>
      <c r="V430" s="86"/>
      <c r="W430" s="73"/>
      <c r="X430" s="73"/>
      <c r="Y430" s="73"/>
      <c r="Z430" s="73"/>
      <c r="AA430" s="73"/>
      <c r="AB430" s="73"/>
      <c r="AC430" s="73"/>
      <c r="AD430" s="73"/>
      <c r="AE430" s="73"/>
      <c r="AF430" s="73"/>
      <c r="AG430" s="73"/>
      <c r="AH430" s="73"/>
      <c r="AI430" s="73"/>
      <c r="AJ430" s="73"/>
      <c r="AK430" s="73"/>
      <c r="AL430" s="73"/>
      <c r="AM430" s="73"/>
      <c r="AN430" s="73"/>
      <c r="AO430" s="73"/>
      <c r="AP430" s="73"/>
      <c r="AQ430" s="73"/>
      <c r="AR430" s="73"/>
      <c r="AS430" s="73"/>
      <c r="AT430" s="73"/>
      <c r="AU430" s="73"/>
      <c r="AV430" s="73"/>
      <c r="AW430" s="73"/>
      <c r="AX430" s="73"/>
      <c r="AY430" s="73"/>
      <c r="AZ430" s="73"/>
      <c r="BA430" s="73"/>
      <c r="BB430" s="73"/>
      <c r="BC430" s="73"/>
      <c r="BD430" s="73"/>
      <c r="BE430" s="73"/>
      <c r="BF430" s="73"/>
    </row>
    <row r="431" spans="1:58" s="68" customFormat="1" ht="20.100000000000001" customHeight="1" x14ac:dyDescent="0.25">
      <c r="A431" s="147" t="s">
        <v>451</v>
      </c>
      <c r="B431" s="147"/>
      <c r="C431" s="147"/>
      <c r="D431" s="147"/>
      <c r="E431" s="147"/>
      <c r="F431" s="147"/>
      <c r="G431" s="147"/>
      <c r="H431" s="147"/>
      <c r="I431" s="147">
        <f>Z419+((1-Z419)*(F429/100))</f>
        <v>0.20424489795918366</v>
      </c>
      <c r="J431" s="147"/>
      <c r="K431" s="147"/>
      <c r="L431" s="147"/>
      <c r="S431" s="107"/>
      <c r="T431" s="107"/>
      <c r="U431" s="107"/>
      <c r="V431" s="86"/>
      <c r="W431" s="73"/>
      <c r="X431" s="73"/>
      <c r="Y431" s="73"/>
      <c r="Z431" s="73"/>
      <c r="AA431" s="73"/>
      <c r="AB431" s="73"/>
      <c r="AC431" s="73"/>
      <c r="AD431" s="73"/>
      <c r="AE431" s="73"/>
      <c r="AF431" s="73"/>
      <c r="AG431" s="73"/>
      <c r="AH431" s="73"/>
      <c r="AI431" s="73"/>
      <c r="AJ431" s="73"/>
      <c r="AK431" s="73"/>
      <c r="AL431" s="73"/>
      <c r="AM431" s="73"/>
      <c r="AN431" s="73"/>
      <c r="AO431" s="73"/>
      <c r="AP431" s="73"/>
      <c r="AQ431" s="73"/>
      <c r="AR431" s="73"/>
      <c r="AS431" s="73"/>
      <c r="AT431" s="73"/>
      <c r="AU431" s="73"/>
      <c r="AV431" s="73"/>
      <c r="AW431" s="73"/>
      <c r="AX431" s="73"/>
      <c r="AY431" s="73"/>
      <c r="AZ431" s="73"/>
      <c r="BA431" s="73"/>
      <c r="BB431" s="73"/>
      <c r="BC431" s="73"/>
      <c r="BD431" s="73"/>
      <c r="BE431" s="73"/>
      <c r="BF431" s="73"/>
    </row>
    <row r="432" spans="1:58" s="68" customFormat="1" ht="20.100000000000001" customHeight="1" x14ac:dyDescent="0.25">
      <c r="A432" s="137" t="s">
        <v>452</v>
      </c>
      <c r="B432" s="137"/>
      <c r="C432" s="137"/>
      <c r="D432" s="137"/>
      <c r="E432" s="137"/>
      <c r="F432" s="137"/>
      <c r="G432" s="137"/>
      <c r="H432" s="137"/>
      <c r="I432" s="151">
        <f>-(I431)</f>
        <v>-0.20424489795918366</v>
      </c>
      <c r="J432" s="151"/>
      <c r="K432" s="151"/>
      <c r="L432" s="151"/>
      <c r="S432" s="107"/>
      <c r="T432" s="107"/>
      <c r="U432" s="107"/>
      <c r="V432" s="86"/>
      <c r="W432" s="73"/>
      <c r="X432" s="73"/>
      <c r="Y432" s="73"/>
      <c r="Z432" s="73"/>
      <c r="AA432" s="73"/>
      <c r="AB432" s="73"/>
      <c r="AC432" s="73"/>
      <c r="AD432" s="73"/>
      <c r="AE432" s="73"/>
      <c r="AF432" s="73"/>
      <c r="AG432" s="73"/>
      <c r="AH432" s="73"/>
      <c r="AI432" s="73"/>
      <c r="AJ432" s="73"/>
      <c r="AK432" s="73"/>
      <c r="AL432" s="73"/>
      <c r="AM432" s="73"/>
      <c r="AN432" s="73"/>
      <c r="AO432" s="73"/>
      <c r="AP432" s="73"/>
      <c r="AQ432" s="73"/>
      <c r="AR432" s="73"/>
      <c r="AS432" s="73"/>
      <c r="AT432" s="73"/>
      <c r="AU432" s="73"/>
      <c r="AV432" s="73"/>
      <c r="AW432" s="73"/>
      <c r="AX432" s="73"/>
      <c r="AY432" s="73"/>
      <c r="AZ432" s="73"/>
      <c r="BA432" s="73"/>
      <c r="BB432" s="73"/>
      <c r="BC432" s="73"/>
      <c r="BD432" s="73"/>
      <c r="BE432" s="73"/>
      <c r="BF432" s="73"/>
    </row>
    <row r="433" spans="1:58" s="68" customFormat="1" ht="20.100000000000001" customHeight="1" x14ac:dyDescent="0.25">
      <c r="A433" s="137" t="s">
        <v>453</v>
      </c>
      <c r="B433" s="137"/>
      <c r="C433" s="137"/>
      <c r="D433" s="137"/>
      <c r="E433" s="137"/>
      <c r="F433" s="137"/>
      <c r="G433" s="137"/>
      <c r="H433" s="137"/>
      <c r="I433" s="171">
        <f>1+I432</f>
        <v>0.79575510204081634</v>
      </c>
      <c r="J433" s="171"/>
      <c r="K433" s="171"/>
      <c r="L433" s="171"/>
      <c r="S433" s="107"/>
      <c r="T433" s="107"/>
      <c r="U433" s="107"/>
      <c r="V433" s="86"/>
      <c r="W433" s="73"/>
      <c r="X433" s="73"/>
      <c r="Y433" s="73"/>
      <c r="Z433" s="73"/>
      <c r="AA433" s="73"/>
      <c r="AB433" s="73"/>
      <c r="AC433" s="73"/>
      <c r="AD433" s="73"/>
      <c r="AE433" s="73"/>
      <c r="AF433" s="73"/>
      <c r="AG433" s="73"/>
      <c r="AH433" s="73"/>
      <c r="AI433" s="73"/>
      <c r="AJ433" s="73"/>
      <c r="AK433" s="73"/>
      <c r="AL433" s="73"/>
      <c r="AM433" s="73"/>
      <c r="AN433" s="73"/>
      <c r="AO433" s="73"/>
      <c r="AP433" s="73"/>
      <c r="AQ433" s="73"/>
      <c r="AR433" s="73"/>
      <c r="AS433" s="73"/>
      <c r="AT433" s="73"/>
      <c r="AU433" s="73"/>
      <c r="AV433" s="73"/>
      <c r="AW433" s="73"/>
      <c r="AX433" s="73"/>
      <c r="AY433" s="73"/>
      <c r="AZ433" s="73"/>
      <c r="BA433" s="73"/>
      <c r="BB433" s="73"/>
      <c r="BC433" s="73"/>
      <c r="BD433" s="73"/>
      <c r="BE433" s="73"/>
      <c r="BF433" s="73"/>
    </row>
    <row r="434" spans="1:58" s="68" customFormat="1" ht="20.100000000000001" customHeight="1" x14ac:dyDescent="0.25">
      <c r="S434" s="107"/>
      <c r="T434" s="107"/>
      <c r="U434" s="107"/>
      <c r="V434" s="86"/>
      <c r="W434" s="73"/>
      <c r="X434" s="73"/>
      <c r="Y434" s="73"/>
      <c r="Z434" s="73"/>
      <c r="AA434" s="73"/>
      <c r="AB434" s="73"/>
      <c r="AC434" s="73"/>
      <c r="AD434" s="73"/>
      <c r="AE434" s="73"/>
      <c r="AF434" s="73"/>
      <c r="AG434" s="73"/>
      <c r="AH434" s="73"/>
      <c r="AI434" s="73"/>
      <c r="AJ434" s="73"/>
      <c r="AK434" s="73"/>
      <c r="AL434" s="73"/>
      <c r="AM434" s="73"/>
      <c r="AN434" s="73"/>
      <c r="AO434" s="73"/>
      <c r="AP434" s="73"/>
      <c r="AQ434" s="73"/>
      <c r="AR434" s="73"/>
      <c r="AS434" s="73"/>
      <c r="AT434" s="73"/>
      <c r="AU434" s="73"/>
      <c r="AV434" s="73"/>
      <c r="AW434" s="73"/>
      <c r="AX434" s="73"/>
      <c r="AY434" s="73"/>
      <c r="AZ434" s="73"/>
      <c r="BA434" s="73"/>
      <c r="BB434" s="73"/>
      <c r="BC434" s="73"/>
      <c r="BD434" s="73"/>
      <c r="BE434" s="73"/>
      <c r="BF434" s="73"/>
    </row>
    <row r="435" spans="1:58" s="68" customFormat="1" ht="20.100000000000001" customHeight="1" x14ac:dyDescent="0.25">
      <c r="S435" s="107"/>
      <c r="T435" s="107"/>
      <c r="U435" s="107"/>
      <c r="V435" s="86"/>
      <c r="W435" s="73"/>
      <c r="X435" s="73"/>
      <c r="Y435" s="73"/>
      <c r="Z435" s="73"/>
      <c r="AA435" s="73"/>
      <c r="AB435" s="73"/>
      <c r="AC435" s="73"/>
      <c r="AD435" s="73"/>
      <c r="AE435" s="73"/>
      <c r="AF435" s="73"/>
      <c r="AG435" s="73"/>
      <c r="AH435" s="73"/>
      <c r="AI435" s="73"/>
      <c r="AJ435" s="73"/>
      <c r="AK435" s="73"/>
      <c r="AL435" s="73"/>
      <c r="AM435" s="73"/>
      <c r="AN435" s="73"/>
      <c r="AO435" s="73"/>
      <c r="AP435" s="73"/>
      <c r="AQ435" s="73"/>
      <c r="AR435" s="73"/>
      <c r="AS435" s="73"/>
      <c r="AT435" s="73"/>
      <c r="AU435" s="73"/>
      <c r="AV435" s="73"/>
      <c r="AW435" s="73"/>
      <c r="AX435" s="73"/>
      <c r="AY435" s="73"/>
      <c r="AZ435" s="73"/>
      <c r="BA435" s="73"/>
      <c r="BB435" s="73"/>
      <c r="BC435" s="73"/>
      <c r="BD435" s="73"/>
      <c r="BE435" s="73"/>
      <c r="BF435" s="73"/>
    </row>
    <row r="436" spans="1:58" s="68" customFormat="1" ht="20.100000000000001" customHeight="1" x14ac:dyDescent="0.25">
      <c r="A436" s="148" t="s">
        <v>432</v>
      </c>
      <c r="B436" s="148"/>
      <c r="C436" s="148"/>
      <c r="D436" s="148"/>
      <c r="E436" s="148"/>
      <c r="F436" s="148"/>
      <c r="G436" s="148"/>
      <c r="H436" s="148"/>
      <c r="I436" s="148"/>
      <c r="J436" s="148"/>
      <c r="K436" s="148"/>
      <c r="L436" s="144">
        <f>L401</f>
        <v>124544.7485</v>
      </c>
      <c r="M436" s="144"/>
      <c r="N436" s="144"/>
      <c r="O436" s="144"/>
      <c r="P436" s="144"/>
      <c r="Q436" s="144"/>
      <c r="R436" s="144"/>
      <c r="S436" s="107"/>
      <c r="T436" s="107"/>
      <c r="U436" s="107"/>
      <c r="V436" s="86"/>
      <c r="W436" s="73"/>
      <c r="X436" s="73"/>
      <c r="Y436" s="73"/>
      <c r="Z436" s="73"/>
      <c r="AA436" s="73"/>
      <c r="AB436" s="73"/>
      <c r="AC436" s="73"/>
      <c r="AD436" s="73"/>
      <c r="AE436" s="73"/>
      <c r="AF436" s="73"/>
      <c r="AG436" s="73"/>
      <c r="AH436" s="73"/>
      <c r="AI436" s="73"/>
      <c r="AJ436" s="73"/>
      <c r="AK436" s="73"/>
      <c r="AL436" s="73"/>
      <c r="AM436" s="73"/>
      <c r="AN436" s="73"/>
      <c r="AO436" s="73"/>
      <c r="AP436" s="73"/>
      <c r="AQ436" s="73"/>
      <c r="AR436" s="73"/>
      <c r="AS436" s="73"/>
      <c r="AT436" s="73"/>
      <c r="AU436" s="73"/>
      <c r="AV436" s="73"/>
      <c r="AW436" s="73"/>
      <c r="AX436" s="73"/>
      <c r="AY436" s="73"/>
      <c r="AZ436" s="73"/>
      <c r="BA436" s="73"/>
      <c r="BB436" s="73"/>
      <c r="BC436" s="73"/>
      <c r="BD436" s="73"/>
      <c r="BE436" s="73"/>
      <c r="BF436" s="73"/>
    </row>
    <row r="437" spans="1:58" s="68" customFormat="1" ht="20.100000000000001" customHeight="1" x14ac:dyDescent="0.25">
      <c r="A437" s="148" t="s">
        <v>454</v>
      </c>
      <c r="B437" s="148"/>
      <c r="C437" s="148"/>
      <c r="D437" s="148"/>
      <c r="E437" s="148"/>
      <c r="F437" s="148"/>
      <c r="G437" s="148"/>
      <c r="H437" s="148"/>
      <c r="I437" s="148"/>
      <c r="J437" s="148"/>
      <c r="K437" s="148"/>
      <c r="L437" s="144">
        <f>L436*I432</f>
        <v>-25437.629448734693</v>
      </c>
      <c r="M437" s="144"/>
      <c r="N437" s="144"/>
      <c r="O437" s="144"/>
      <c r="P437" s="144"/>
      <c r="Q437" s="144"/>
      <c r="R437" s="144"/>
      <c r="S437" s="107"/>
      <c r="T437" s="107"/>
      <c r="U437" s="107"/>
      <c r="V437" s="86"/>
      <c r="W437" s="73"/>
      <c r="X437" s="73"/>
      <c r="Y437" s="73"/>
      <c r="Z437" s="73"/>
      <c r="AA437" s="73"/>
      <c r="AB437" s="73"/>
      <c r="AC437" s="73"/>
      <c r="AD437" s="73"/>
      <c r="AE437" s="73"/>
      <c r="AF437" s="73"/>
      <c r="AG437" s="73"/>
      <c r="AH437" s="73"/>
      <c r="AI437" s="73"/>
      <c r="AJ437" s="73"/>
      <c r="AK437" s="73"/>
      <c r="AL437" s="73"/>
      <c r="AM437" s="73"/>
      <c r="AN437" s="73"/>
      <c r="AO437" s="73"/>
      <c r="AP437" s="73"/>
      <c r="AQ437" s="73"/>
      <c r="AR437" s="73"/>
      <c r="AS437" s="73"/>
      <c r="AT437" s="73"/>
      <c r="AU437" s="73"/>
      <c r="AV437" s="73"/>
      <c r="AW437" s="73"/>
      <c r="AX437" s="73"/>
      <c r="AY437" s="73"/>
      <c r="AZ437" s="73"/>
      <c r="BA437" s="73"/>
      <c r="BB437" s="73"/>
      <c r="BC437" s="73"/>
      <c r="BD437" s="73"/>
      <c r="BE437" s="73"/>
      <c r="BF437" s="73"/>
    </row>
    <row r="438" spans="1:58" s="68" customFormat="1" ht="20.100000000000001" customHeight="1" x14ac:dyDescent="0.25">
      <c r="S438" s="107"/>
      <c r="T438" s="107"/>
      <c r="U438" s="107"/>
      <c r="V438" s="86"/>
      <c r="W438" s="73"/>
      <c r="X438" s="73"/>
      <c r="Y438" s="73"/>
      <c r="Z438" s="73"/>
      <c r="AA438" s="73"/>
      <c r="AB438" s="73"/>
      <c r="AC438" s="73"/>
      <c r="AD438" s="73"/>
      <c r="AE438" s="73"/>
      <c r="AF438" s="73"/>
      <c r="AG438" s="73"/>
      <c r="AH438" s="73"/>
      <c r="AI438" s="73"/>
      <c r="AJ438" s="73"/>
      <c r="AK438" s="73"/>
      <c r="AL438" s="73"/>
      <c r="AM438" s="73"/>
      <c r="AN438" s="73"/>
      <c r="AO438" s="73"/>
      <c r="AP438" s="73"/>
      <c r="AQ438" s="73"/>
      <c r="AR438" s="73"/>
      <c r="AS438" s="73"/>
      <c r="AT438" s="73"/>
      <c r="AU438" s="73"/>
      <c r="AV438" s="73"/>
      <c r="AW438" s="73"/>
      <c r="AX438" s="73"/>
      <c r="AY438" s="73"/>
      <c r="AZ438" s="73"/>
      <c r="BA438" s="73"/>
      <c r="BB438" s="73"/>
      <c r="BC438" s="73"/>
      <c r="BD438" s="73"/>
      <c r="BE438" s="73"/>
      <c r="BF438" s="73"/>
    </row>
    <row r="439" spans="1:58" s="68" customFormat="1" ht="20.100000000000001" customHeight="1" x14ac:dyDescent="0.25">
      <c r="A439" s="141" t="s">
        <v>455</v>
      </c>
      <c r="B439" s="141"/>
      <c r="C439" s="141"/>
      <c r="D439" s="141"/>
      <c r="E439" s="141"/>
      <c r="F439" s="141"/>
      <c r="G439" s="141"/>
      <c r="H439" s="141"/>
      <c r="I439" s="141"/>
      <c r="J439" s="141"/>
      <c r="K439" s="141"/>
      <c r="L439" s="144">
        <f>L436+L437</f>
        <v>99107.119051265312</v>
      </c>
      <c r="M439" s="144"/>
      <c r="N439" s="144"/>
      <c r="O439" s="144"/>
      <c r="P439" s="144"/>
      <c r="Q439" s="144"/>
      <c r="R439" s="144"/>
      <c r="S439" s="107"/>
      <c r="T439" s="107"/>
      <c r="U439" s="107"/>
      <c r="V439" s="86"/>
      <c r="W439" s="73"/>
      <c r="X439" s="73"/>
      <c r="Y439" s="73"/>
      <c r="Z439" s="73"/>
      <c r="AA439" s="73"/>
      <c r="AB439" s="73"/>
      <c r="AC439" s="73"/>
      <c r="AD439" s="73"/>
      <c r="AE439" s="73"/>
      <c r="AF439" s="73"/>
      <c r="AG439" s="73"/>
      <c r="AH439" s="73"/>
      <c r="AI439" s="73"/>
      <c r="AJ439" s="73"/>
      <c r="AK439" s="73"/>
      <c r="AL439" s="73"/>
      <c r="AM439" s="73"/>
      <c r="AN439" s="73"/>
      <c r="AO439" s="73"/>
      <c r="AP439" s="73"/>
      <c r="AQ439" s="73"/>
      <c r="AR439" s="73"/>
      <c r="AS439" s="73"/>
      <c r="AT439" s="73"/>
      <c r="AU439" s="73"/>
      <c r="AV439" s="73"/>
      <c r="AW439" s="73"/>
      <c r="AX439" s="73"/>
      <c r="AY439" s="73"/>
      <c r="AZ439" s="73"/>
      <c r="BA439" s="73"/>
      <c r="BB439" s="73"/>
      <c r="BC439" s="73"/>
      <c r="BD439" s="73"/>
      <c r="BE439" s="73"/>
      <c r="BF439" s="73"/>
    </row>
    <row r="440" spans="1:58" s="68" customFormat="1" ht="20.100000000000001" customHeight="1" x14ac:dyDescent="0.25">
      <c r="S440" s="107"/>
      <c r="T440" s="107"/>
      <c r="U440" s="107"/>
      <c r="V440" s="86"/>
      <c r="W440" s="73"/>
      <c r="X440" s="73"/>
      <c r="Y440" s="73"/>
      <c r="Z440" s="73"/>
      <c r="AA440" s="73"/>
      <c r="AB440" s="73"/>
      <c r="AC440" s="73"/>
      <c r="AD440" s="73"/>
      <c r="AE440" s="73"/>
      <c r="AF440" s="73"/>
      <c r="AG440" s="73"/>
      <c r="AH440" s="73"/>
      <c r="AI440" s="73"/>
      <c r="AJ440" s="73"/>
      <c r="AK440" s="73"/>
      <c r="AL440" s="73"/>
      <c r="AM440" s="73"/>
      <c r="AN440" s="73"/>
      <c r="AO440" s="73"/>
      <c r="AP440" s="73"/>
      <c r="AQ440" s="73"/>
      <c r="AR440" s="73"/>
      <c r="AS440" s="73"/>
      <c r="AT440" s="73"/>
      <c r="AU440" s="73"/>
      <c r="AV440" s="73"/>
      <c r="AW440" s="73"/>
      <c r="AX440" s="73"/>
      <c r="AY440" s="73"/>
      <c r="AZ440" s="73"/>
      <c r="BA440" s="73"/>
      <c r="BB440" s="73"/>
      <c r="BC440" s="73"/>
      <c r="BD440" s="73"/>
      <c r="BE440" s="73"/>
      <c r="BF440" s="73"/>
    </row>
    <row r="441" spans="1:58" s="68" customFormat="1" ht="20.100000000000001" customHeight="1" thickBot="1" x14ac:dyDescent="0.3">
      <c r="A441" s="76"/>
      <c r="B441" s="76"/>
      <c r="C441" s="76"/>
      <c r="D441" s="76"/>
      <c r="E441" s="76"/>
      <c r="F441" s="76"/>
      <c r="G441" s="76"/>
      <c r="H441" s="76"/>
      <c r="I441" s="76"/>
      <c r="J441" s="76"/>
      <c r="K441" s="76"/>
      <c r="L441" s="76"/>
      <c r="M441" s="76"/>
      <c r="N441" s="76"/>
      <c r="O441" s="76"/>
      <c r="P441" s="76"/>
      <c r="Q441" s="76"/>
      <c r="R441" s="76"/>
      <c r="S441" s="107"/>
      <c r="T441" s="107"/>
      <c r="U441" s="107"/>
      <c r="V441" s="86"/>
      <c r="W441" s="73"/>
      <c r="X441" s="73"/>
      <c r="Y441" s="73"/>
      <c r="Z441" s="73"/>
      <c r="AA441" s="73"/>
      <c r="AB441" s="73"/>
      <c r="AC441" s="73"/>
      <c r="AD441" s="73"/>
      <c r="AE441" s="73"/>
      <c r="AF441" s="73"/>
      <c r="AG441" s="73"/>
      <c r="AH441" s="73"/>
      <c r="AI441" s="73"/>
      <c r="AJ441" s="73"/>
      <c r="AK441" s="73"/>
      <c r="AL441" s="73"/>
      <c r="AM441" s="73"/>
      <c r="AN441" s="73"/>
      <c r="AO441" s="73"/>
      <c r="AP441" s="73"/>
      <c r="AQ441" s="73"/>
      <c r="AR441" s="73"/>
      <c r="AS441" s="73"/>
      <c r="AT441" s="73"/>
      <c r="AU441" s="73"/>
      <c r="AV441" s="73"/>
      <c r="AW441" s="73"/>
      <c r="AX441" s="73"/>
      <c r="AY441" s="73"/>
      <c r="AZ441" s="73"/>
      <c r="BA441" s="73"/>
      <c r="BB441" s="73"/>
      <c r="BC441" s="73"/>
      <c r="BD441" s="73"/>
      <c r="BE441" s="73"/>
      <c r="BF441" s="73"/>
    </row>
    <row r="442" spans="1:58" s="68" customFormat="1" ht="20.100000000000001" customHeight="1" x14ac:dyDescent="0.25">
      <c r="S442" s="107"/>
      <c r="T442" s="107"/>
      <c r="U442" s="107"/>
      <c r="V442" s="86"/>
      <c r="W442" s="73"/>
      <c r="X442" s="73"/>
      <c r="Y442" s="73"/>
      <c r="Z442" s="73"/>
      <c r="AA442" s="73"/>
      <c r="AB442" s="73"/>
      <c r="AC442" s="73"/>
      <c r="AD442" s="73"/>
      <c r="AE442" s="73"/>
      <c r="AF442" s="73"/>
      <c r="AG442" s="73"/>
      <c r="AH442" s="73"/>
      <c r="AI442" s="73"/>
      <c r="AJ442" s="73"/>
      <c r="AK442" s="73"/>
      <c r="AL442" s="73"/>
      <c r="AM442" s="73"/>
      <c r="AN442" s="73"/>
      <c r="AO442" s="73"/>
      <c r="AP442" s="73"/>
      <c r="AQ442" s="73"/>
      <c r="AR442" s="73"/>
      <c r="AS442" s="73"/>
      <c r="AT442" s="73"/>
      <c r="AU442" s="73"/>
      <c r="AV442" s="73"/>
      <c r="AW442" s="73"/>
      <c r="AX442" s="73"/>
      <c r="AY442" s="73"/>
      <c r="AZ442" s="73"/>
      <c r="BA442" s="73"/>
      <c r="BB442" s="73"/>
      <c r="BC442" s="73"/>
      <c r="BD442" s="73"/>
      <c r="BE442" s="73"/>
      <c r="BF442" s="73"/>
    </row>
    <row r="443" spans="1:58" s="68" customFormat="1" ht="20.100000000000001" customHeight="1" x14ac:dyDescent="0.25">
      <c r="A443" s="146" t="s">
        <v>456</v>
      </c>
      <c r="B443" s="146"/>
      <c r="C443" s="146"/>
      <c r="D443" s="146"/>
      <c r="E443" s="146"/>
      <c r="F443" s="146"/>
      <c r="G443" s="146"/>
      <c r="H443" s="146"/>
      <c r="I443" s="146"/>
      <c r="J443" s="146"/>
      <c r="K443" s="146"/>
      <c r="L443" s="146"/>
      <c r="M443" s="146"/>
      <c r="N443" s="146"/>
      <c r="O443" s="146"/>
      <c r="P443" s="146"/>
      <c r="Q443" s="146"/>
      <c r="R443" s="146"/>
      <c r="S443" s="107"/>
      <c r="T443" s="107"/>
      <c r="U443" s="107"/>
      <c r="V443" s="143" t="s">
        <v>457</v>
      </c>
      <c r="W443" s="143"/>
      <c r="X443" s="73"/>
      <c r="Y443" s="73"/>
      <c r="Z443" s="73"/>
      <c r="AA443" s="73"/>
      <c r="AB443" s="73"/>
      <c r="AC443" s="73"/>
      <c r="AD443" s="73"/>
      <c r="AE443" s="73"/>
      <c r="AF443" s="73"/>
      <c r="AG443" s="73"/>
      <c r="AH443" s="73"/>
      <c r="AI443" s="73"/>
      <c r="AJ443" s="73"/>
      <c r="AK443" s="73"/>
      <c r="AL443" s="73"/>
      <c r="AM443" s="73"/>
      <c r="AN443" s="73"/>
      <c r="AO443" s="73"/>
      <c r="AP443" s="73"/>
      <c r="AQ443" s="73"/>
      <c r="AR443" s="73"/>
      <c r="AS443" s="73"/>
      <c r="AT443" s="73"/>
      <c r="AU443" s="73"/>
      <c r="AV443" s="73"/>
      <c r="AW443" s="73"/>
      <c r="AX443" s="73"/>
      <c r="AY443" s="73"/>
      <c r="AZ443" s="73"/>
      <c r="BA443" s="73"/>
      <c r="BB443" s="73"/>
      <c r="BC443" s="73"/>
      <c r="BD443" s="73"/>
      <c r="BE443" s="73"/>
      <c r="BF443" s="73"/>
    </row>
    <row r="444" spans="1:58" s="68" customFormat="1" ht="20.100000000000001" customHeight="1" x14ac:dyDescent="0.25">
      <c r="A444" s="135" t="s">
        <v>458</v>
      </c>
      <c r="B444" s="135"/>
      <c r="C444" s="135"/>
      <c r="D444" s="74"/>
      <c r="E444" s="74"/>
      <c r="F444" s="74"/>
      <c r="G444" s="74"/>
      <c r="H444" s="74"/>
      <c r="I444" s="74"/>
      <c r="J444" s="74"/>
      <c r="K444" s="136" t="s">
        <v>296</v>
      </c>
      <c r="L444" s="136"/>
      <c r="M444" s="136"/>
      <c r="N444" s="136"/>
      <c r="O444" s="136"/>
      <c r="P444" s="136"/>
      <c r="Q444" s="136"/>
      <c r="R444" s="136"/>
      <c r="S444" s="107"/>
      <c r="T444" s="107"/>
      <c r="U444" s="107"/>
      <c r="V444" s="108" t="s">
        <v>295</v>
      </c>
      <c r="W444" s="88">
        <f>MATCH(K444,'VANTAGEM DA COISA FEITA'!AN11:AQ11,0)</f>
        <v>2</v>
      </c>
      <c r="X444" s="73"/>
      <c r="Y444" s="73"/>
      <c r="Z444" s="73"/>
      <c r="AA444" s="73"/>
      <c r="AB444" s="73"/>
      <c r="AC444" s="73"/>
      <c r="AD444" s="73"/>
      <c r="AE444" s="73"/>
      <c r="AF444" s="73"/>
      <c r="AG444" s="73"/>
      <c r="AH444" s="73"/>
      <c r="AI444" s="73"/>
      <c r="AJ444" s="73"/>
      <c r="AK444" s="73"/>
      <c r="AL444" s="73"/>
      <c r="AM444" s="73"/>
      <c r="AN444" s="73"/>
      <c r="AO444" s="73"/>
      <c r="AP444" s="73"/>
      <c r="AQ444" s="73"/>
      <c r="AR444" s="73"/>
      <c r="AS444" s="73"/>
      <c r="AT444" s="73"/>
      <c r="AU444" s="73"/>
      <c r="AV444" s="73"/>
      <c r="AW444" s="73"/>
      <c r="AX444" s="73"/>
      <c r="AY444" s="73"/>
      <c r="AZ444" s="73"/>
      <c r="BA444" s="73"/>
      <c r="BB444" s="73"/>
      <c r="BC444" s="73"/>
      <c r="BD444" s="73"/>
      <c r="BE444" s="73"/>
      <c r="BF444" s="73"/>
    </row>
    <row r="445" spans="1:58" s="68" customFormat="1" ht="20.100000000000001" customHeight="1" x14ac:dyDescent="0.25">
      <c r="A445" s="137" t="s">
        <v>459</v>
      </c>
      <c r="B445" s="137"/>
      <c r="C445" s="137"/>
      <c r="D445" s="75"/>
      <c r="E445" s="75"/>
      <c r="F445" s="75"/>
      <c r="G445" s="75"/>
      <c r="H445" s="75"/>
      <c r="I445" s="75"/>
      <c r="J445" s="75"/>
      <c r="K445" s="78">
        <f>E405</f>
        <v>20</v>
      </c>
      <c r="L445" s="75" t="s">
        <v>460</v>
      </c>
      <c r="M445" s="75"/>
      <c r="N445" s="75"/>
      <c r="O445" s="75"/>
      <c r="P445" s="75"/>
      <c r="Q445" s="75"/>
      <c r="R445" s="75"/>
      <c r="S445" s="107"/>
      <c r="T445" s="107"/>
      <c r="U445" s="107"/>
      <c r="V445" s="108" t="s">
        <v>297</v>
      </c>
      <c r="W445" s="88">
        <f>MATCH(K445,'VANTAGEM DA COISA FEITA'!AM12:AM81,0)</f>
        <v>20</v>
      </c>
      <c r="X445" s="73"/>
      <c r="Y445" s="73"/>
      <c r="Z445" s="73"/>
      <c r="AA445" s="73"/>
      <c r="AB445" s="73"/>
      <c r="AC445" s="73"/>
      <c r="AD445" s="73"/>
      <c r="AE445" s="73"/>
      <c r="AF445" s="73"/>
      <c r="AG445" s="73"/>
      <c r="AH445" s="73"/>
      <c r="AI445" s="73"/>
      <c r="AJ445" s="73"/>
      <c r="AK445" s="73"/>
      <c r="AL445" s="73"/>
      <c r="AM445" s="73"/>
      <c r="AN445" s="73"/>
      <c r="AO445" s="73"/>
      <c r="AP445" s="73"/>
      <c r="AQ445" s="73"/>
      <c r="AR445" s="73"/>
      <c r="AS445" s="73"/>
      <c r="AT445" s="73"/>
      <c r="AU445" s="73"/>
      <c r="AV445" s="73"/>
      <c r="AW445" s="73"/>
      <c r="AX445" s="73"/>
      <c r="AY445" s="73"/>
      <c r="AZ445" s="73"/>
      <c r="BA445" s="73"/>
      <c r="BB445" s="73"/>
      <c r="BC445" s="73"/>
      <c r="BD445" s="73"/>
      <c r="BE445" s="73"/>
      <c r="BF445" s="73"/>
    </row>
    <row r="446" spans="1:58" s="68" customFormat="1" ht="20.100000000000001" customHeight="1" x14ac:dyDescent="0.25">
      <c r="S446" s="107"/>
      <c r="T446" s="107"/>
      <c r="U446" s="107"/>
      <c r="V446" s="86"/>
      <c r="W446" s="89" cm="1">
        <f t="array" ref="W446">INDEX('VANTAGEM DA COISA FEITA'!AN12:AQ81,W445,W444)</f>
        <v>7.8E-2</v>
      </c>
      <c r="X446" s="73"/>
      <c r="Y446" s="73"/>
      <c r="Z446" s="73"/>
      <c r="AA446" s="73"/>
      <c r="AB446" s="73"/>
      <c r="AC446" s="73"/>
      <c r="AD446" s="73"/>
      <c r="AE446" s="73"/>
      <c r="AF446" s="73"/>
      <c r="AG446" s="73"/>
      <c r="AH446" s="73"/>
      <c r="AI446" s="73"/>
      <c r="AJ446" s="73"/>
      <c r="AK446" s="73"/>
      <c r="AL446" s="73"/>
      <c r="AM446" s="73"/>
      <c r="AN446" s="73"/>
      <c r="AO446" s="73"/>
      <c r="AP446" s="73"/>
      <c r="AQ446" s="73"/>
      <c r="AR446" s="73"/>
      <c r="AS446" s="73"/>
      <c r="AT446" s="73"/>
      <c r="AU446" s="73"/>
      <c r="AV446" s="73"/>
      <c r="AW446" s="73"/>
      <c r="AX446" s="73"/>
      <c r="AY446" s="73"/>
      <c r="AZ446" s="73"/>
      <c r="BA446" s="73"/>
      <c r="BB446" s="73"/>
      <c r="BC446" s="73"/>
      <c r="BD446" s="73"/>
      <c r="BE446" s="73"/>
      <c r="BF446" s="73"/>
    </row>
    <row r="447" spans="1:58" s="68" customFormat="1" ht="20.100000000000001" customHeight="1" x14ac:dyDescent="0.25">
      <c r="A447" s="135" t="s">
        <v>461</v>
      </c>
      <c r="B447" s="135"/>
      <c r="C447" s="135"/>
      <c r="D447" s="135"/>
      <c r="E447" s="135"/>
      <c r="F447" s="135"/>
      <c r="G447" s="135"/>
      <c r="H447" s="135"/>
      <c r="I447" s="135"/>
      <c r="J447" s="135"/>
      <c r="K447" s="135"/>
      <c r="L447" s="144">
        <f>M386</f>
        <v>163323.43465160078</v>
      </c>
      <c r="M447" s="144"/>
      <c r="N447" s="144"/>
      <c r="O447" s="144"/>
      <c r="P447" s="144"/>
      <c r="Q447" s="144"/>
      <c r="R447" s="144"/>
      <c r="S447" s="107"/>
      <c r="T447" s="107"/>
      <c r="U447" s="107"/>
      <c r="V447" s="86"/>
      <c r="W447" s="73"/>
      <c r="X447" s="73"/>
      <c r="Y447" s="73"/>
      <c r="Z447" s="73"/>
      <c r="AA447" s="73"/>
      <c r="AB447" s="73"/>
      <c r="AC447" s="73"/>
      <c r="AD447" s="73"/>
      <c r="AE447" s="73"/>
      <c r="AF447" s="73"/>
      <c r="AG447" s="73"/>
      <c r="AH447" s="73"/>
      <c r="AI447" s="73"/>
      <c r="AJ447" s="73"/>
      <c r="AK447" s="73"/>
      <c r="AL447" s="73"/>
      <c r="AM447" s="73"/>
      <c r="AN447" s="73"/>
      <c r="AO447" s="73"/>
      <c r="AP447" s="73"/>
      <c r="AQ447" s="73"/>
      <c r="AR447" s="73"/>
      <c r="AS447" s="73"/>
      <c r="AT447" s="73"/>
      <c r="AU447" s="73"/>
      <c r="AV447" s="73"/>
      <c r="AW447" s="73"/>
      <c r="AX447" s="73"/>
      <c r="AY447" s="73"/>
      <c r="AZ447" s="73"/>
      <c r="BA447" s="73"/>
      <c r="BB447" s="73"/>
      <c r="BC447" s="73"/>
      <c r="BD447" s="73"/>
      <c r="BE447" s="73"/>
      <c r="BF447" s="73"/>
    </row>
    <row r="448" spans="1:58" s="68" customFormat="1" ht="20.100000000000001" customHeight="1" x14ac:dyDescent="0.25">
      <c r="A448" s="135" t="s">
        <v>462</v>
      </c>
      <c r="B448" s="135"/>
      <c r="C448" s="135"/>
      <c r="D448" s="135"/>
      <c r="E448" s="135"/>
      <c r="F448" s="135"/>
      <c r="G448" s="135"/>
      <c r="H448" s="135"/>
      <c r="I448" s="135"/>
      <c r="J448" s="135"/>
      <c r="K448" s="135"/>
      <c r="L448" s="144">
        <f>L439</f>
        <v>99107.119051265312</v>
      </c>
      <c r="M448" s="144"/>
      <c r="N448" s="144"/>
      <c r="O448" s="144"/>
      <c r="P448" s="144"/>
      <c r="Q448" s="144"/>
      <c r="R448" s="144"/>
      <c r="S448" s="107"/>
      <c r="T448" s="107"/>
      <c r="U448" s="107"/>
      <c r="V448" s="86"/>
      <c r="W448" s="73"/>
      <c r="X448" s="73"/>
      <c r="Y448" s="73"/>
      <c r="Z448" s="73"/>
      <c r="AA448" s="73"/>
      <c r="AB448" s="73"/>
      <c r="AC448" s="73"/>
      <c r="AD448" s="73"/>
      <c r="AE448" s="73"/>
      <c r="AF448" s="73"/>
      <c r="AG448" s="73"/>
      <c r="AH448" s="73"/>
      <c r="AI448" s="73"/>
      <c r="AJ448" s="73"/>
      <c r="AK448" s="73"/>
      <c r="AL448" s="73"/>
      <c r="AM448" s="73"/>
      <c r="AN448" s="73"/>
      <c r="AO448" s="73"/>
      <c r="AP448" s="73"/>
      <c r="AQ448" s="73"/>
      <c r="AR448" s="73"/>
      <c r="AS448" s="73"/>
      <c r="AT448" s="73"/>
      <c r="AU448" s="73"/>
      <c r="AV448" s="73"/>
      <c r="AW448" s="73"/>
      <c r="AX448" s="73"/>
      <c r="AY448" s="73"/>
      <c r="AZ448" s="73"/>
      <c r="BA448" s="73"/>
      <c r="BB448" s="73"/>
      <c r="BC448" s="73"/>
      <c r="BD448" s="73"/>
      <c r="BE448" s="73"/>
      <c r="BF448" s="73"/>
    </row>
    <row r="449" spans="1:58" s="68" customFormat="1" ht="20.100000000000001" customHeight="1" x14ac:dyDescent="0.25">
      <c r="S449" s="107"/>
      <c r="T449" s="107"/>
      <c r="U449" s="107"/>
      <c r="V449" s="86"/>
      <c r="W449" s="73"/>
      <c r="X449" s="73"/>
      <c r="Y449" s="73"/>
      <c r="Z449" s="73"/>
      <c r="AA449" s="73"/>
      <c r="AB449" s="73"/>
      <c r="AC449" s="73"/>
      <c r="AD449" s="73"/>
      <c r="AE449" s="73"/>
      <c r="AF449" s="73"/>
      <c r="AG449" s="73"/>
      <c r="AH449" s="73"/>
      <c r="AI449" s="73"/>
      <c r="AJ449" s="73"/>
      <c r="AK449" s="73"/>
      <c r="AL449" s="73"/>
      <c r="AM449" s="73"/>
      <c r="AN449" s="73"/>
      <c r="AO449" s="73"/>
      <c r="AP449" s="73"/>
      <c r="AQ449" s="73"/>
      <c r="AR449" s="73"/>
      <c r="AS449" s="73"/>
      <c r="AT449" s="73"/>
      <c r="AU449" s="73"/>
      <c r="AV449" s="73"/>
      <c r="AW449" s="73"/>
      <c r="AX449" s="73"/>
      <c r="AY449" s="73"/>
      <c r="AZ449" s="73"/>
      <c r="BA449" s="73"/>
      <c r="BB449" s="73"/>
      <c r="BC449" s="73"/>
      <c r="BD449" s="73"/>
      <c r="BE449" s="73"/>
      <c r="BF449" s="73"/>
    </row>
    <row r="450" spans="1:58" s="68" customFormat="1" ht="20.100000000000001" customHeight="1" x14ac:dyDescent="0.25">
      <c r="A450" s="135" t="s">
        <v>463</v>
      </c>
      <c r="B450" s="135"/>
      <c r="C450" s="135"/>
      <c r="D450" s="135"/>
      <c r="E450" s="135"/>
      <c r="F450" s="135"/>
      <c r="G450" s="135"/>
      <c r="H450" s="135"/>
      <c r="I450" s="135"/>
      <c r="J450" s="135"/>
      <c r="K450" s="135"/>
      <c r="L450" s="144">
        <f>L447+L448</f>
        <v>262430.55370286608</v>
      </c>
      <c r="M450" s="144"/>
      <c r="N450" s="144"/>
      <c r="O450" s="144"/>
      <c r="P450" s="144"/>
      <c r="Q450" s="144"/>
      <c r="R450" s="144"/>
      <c r="S450" s="107"/>
      <c r="T450" s="107"/>
      <c r="U450" s="107"/>
      <c r="V450" s="86"/>
      <c r="W450" s="73"/>
      <c r="X450" s="73"/>
      <c r="Y450" s="73"/>
      <c r="Z450" s="73"/>
      <c r="AA450" s="73"/>
      <c r="AB450" s="73"/>
      <c r="AC450" s="73"/>
      <c r="AD450" s="73"/>
      <c r="AE450" s="73"/>
      <c r="AF450" s="73"/>
      <c r="AG450" s="73"/>
      <c r="AH450" s="73"/>
      <c r="AI450" s="73"/>
      <c r="AJ450" s="73"/>
      <c r="AK450" s="73"/>
      <c r="AL450" s="73"/>
      <c r="AM450" s="73"/>
      <c r="AN450" s="73"/>
      <c r="AO450" s="73"/>
      <c r="AP450" s="73"/>
      <c r="AQ450" s="73"/>
      <c r="AR450" s="73"/>
      <c r="AS450" s="73"/>
      <c r="AT450" s="73"/>
      <c r="AU450" s="73"/>
      <c r="AV450" s="73"/>
      <c r="AW450" s="73"/>
      <c r="AX450" s="73"/>
      <c r="AY450" s="73"/>
      <c r="AZ450" s="73"/>
      <c r="BA450" s="73"/>
      <c r="BB450" s="73"/>
      <c r="BC450" s="73"/>
      <c r="BD450" s="73"/>
      <c r="BE450" s="73"/>
      <c r="BF450" s="73"/>
    </row>
    <row r="451" spans="1:58" s="68" customFormat="1" ht="20.100000000000001" customHeight="1" x14ac:dyDescent="0.25">
      <c r="A451" s="135" t="s">
        <v>464</v>
      </c>
      <c r="B451" s="135"/>
      <c r="C451" s="135"/>
      <c r="D451" s="135"/>
      <c r="E451" s="135"/>
      <c r="F451" s="135"/>
      <c r="G451" s="135"/>
      <c r="H451" s="135"/>
      <c r="I451" s="135"/>
      <c r="J451" s="135"/>
      <c r="K451" s="135"/>
      <c r="L451" s="145">
        <f>1+W446</f>
        <v>1.0780000000000001</v>
      </c>
      <c r="M451" s="145"/>
      <c r="N451" s="145"/>
      <c r="O451" s="145"/>
      <c r="P451" s="145"/>
      <c r="Q451" s="145"/>
      <c r="R451" s="145"/>
      <c r="S451" s="107"/>
      <c r="T451" s="107"/>
      <c r="U451" s="107"/>
      <c r="V451" s="86"/>
      <c r="W451" s="73"/>
      <c r="X451" s="73"/>
      <c r="Y451" s="73"/>
      <c r="Z451" s="73"/>
      <c r="AA451" s="73"/>
      <c r="AB451" s="73"/>
      <c r="AC451" s="73"/>
      <c r="AD451" s="73"/>
      <c r="AE451" s="73"/>
      <c r="AF451" s="73"/>
      <c r="AG451" s="73"/>
      <c r="AH451" s="73"/>
      <c r="AI451" s="73"/>
      <c r="AJ451" s="73"/>
      <c r="AK451" s="73"/>
      <c r="AL451" s="73"/>
      <c r="AM451" s="73"/>
      <c r="AN451" s="73"/>
      <c r="AO451" s="73"/>
      <c r="AP451" s="73"/>
      <c r="AQ451" s="73"/>
      <c r="AR451" s="73"/>
      <c r="AS451" s="73"/>
      <c r="AT451" s="73"/>
      <c r="AU451" s="73"/>
      <c r="AV451" s="73"/>
      <c r="AW451" s="73"/>
      <c r="AX451" s="73"/>
      <c r="AY451" s="73"/>
      <c r="AZ451" s="73"/>
      <c r="BA451" s="73"/>
      <c r="BB451" s="73"/>
      <c r="BC451" s="73"/>
      <c r="BD451" s="73"/>
      <c r="BE451" s="73"/>
      <c r="BF451" s="73"/>
    </row>
    <row r="452" spans="1:58" s="68" customFormat="1" ht="20.100000000000001" customHeight="1" x14ac:dyDescent="0.25">
      <c r="S452" s="107"/>
      <c r="T452" s="107"/>
      <c r="U452" s="107"/>
      <c r="V452" s="86" t="s">
        <v>465</v>
      </c>
      <c r="W452" s="89">
        <f>X452/(SUM($X$452:$X$453))</f>
        <v>0.62234915998585216</v>
      </c>
      <c r="X452" s="90">
        <f>L447</f>
        <v>163323.43465160078</v>
      </c>
      <c r="Y452" s="73"/>
      <c r="Z452" s="73"/>
      <c r="AA452" s="73"/>
      <c r="AB452" s="73"/>
      <c r="AC452" s="73"/>
      <c r="AD452" s="73"/>
      <c r="AE452" s="73"/>
      <c r="AF452" s="73"/>
      <c r="AG452" s="73"/>
      <c r="AH452" s="73"/>
      <c r="AI452" s="73"/>
      <c r="AJ452" s="73"/>
      <c r="AK452" s="73"/>
      <c r="AL452" s="73"/>
      <c r="AM452" s="73"/>
      <c r="AN452" s="73"/>
      <c r="AO452" s="73"/>
      <c r="AP452" s="73"/>
      <c r="AQ452" s="73"/>
      <c r="AR452" s="73"/>
      <c r="AS452" s="73"/>
      <c r="AT452" s="73"/>
      <c r="AU452" s="73"/>
      <c r="AV452" s="73"/>
      <c r="AW452" s="73"/>
      <c r="AX452" s="73"/>
      <c r="AY452" s="73"/>
      <c r="AZ452" s="73"/>
      <c r="BA452" s="73"/>
      <c r="BB452" s="73"/>
      <c r="BC452" s="73"/>
      <c r="BD452" s="73"/>
      <c r="BE452" s="73"/>
      <c r="BF452" s="73"/>
    </row>
    <row r="453" spans="1:58" s="68" customFormat="1" ht="20.100000000000001" customHeight="1" x14ac:dyDescent="0.25">
      <c r="A453" s="135" t="s">
        <v>466</v>
      </c>
      <c r="B453" s="135"/>
      <c r="C453" s="135"/>
      <c r="D453" s="135"/>
      <c r="E453" s="135"/>
      <c r="F453" s="135"/>
      <c r="G453" s="135"/>
      <c r="H453" s="135"/>
      <c r="I453" s="135"/>
      <c r="J453" s="135"/>
      <c r="K453" s="135"/>
      <c r="L453" s="144">
        <f>L450*L451</f>
        <v>282900.13689168968</v>
      </c>
      <c r="M453" s="144"/>
      <c r="N453" s="144"/>
      <c r="O453" s="144"/>
      <c r="P453" s="144"/>
      <c r="Q453" s="144"/>
      <c r="R453" s="144"/>
      <c r="S453" s="107"/>
      <c r="T453" s="107"/>
      <c r="U453" s="107"/>
      <c r="V453" s="86" t="s">
        <v>467</v>
      </c>
      <c r="W453" s="89">
        <f>X453/(SUM($X$452:$X$453))</f>
        <v>0.37765084001414784</v>
      </c>
      <c r="X453" s="90">
        <f>L448</f>
        <v>99107.119051265312</v>
      </c>
      <c r="Y453" s="73"/>
      <c r="Z453" s="73"/>
      <c r="AA453" s="73"/>
      <c r="AB453" s="73"/>
      <c r="AC453" s="73"/>
      <c r="AD453" s="73"/>
      <c r="AE453" s="73"/>
      <c r="AF453" s="73"/>
      <c r="AG453" s="73"/>
      <c r="AH453" s="73"/>
      <c r="AI453" s="73"/>
      <c r="AJ453" s="73"/>
      <c r="AK453" s="73"/>
      <c r="AL453" s="73"/>
      <c r="AM453" s="73"/>
      <c r="AN453" s="73"/>
      <c r="AO453" s="73"/>
      <c r="AP453" s="73"/>
      <c r="AQ453" s="73"/>
      <c r="AR453" s="73"/>
      <c r="AS453" s="73"/>
      <c r="AT453" s="73"/>
      <c r="AU453" s="73"/>
      <c r="AV453" s="73"/>
      <c r="AW453" s="73"/>
      <c r="AX453" s="73"/>
      <c r="AY453" s="73"/>
      <c r="AZ453" s="73"/>
      <c r="BA453" s="73"/>
      <c r="BB453" s="73"/>
      <c r="BC453" s="73"/>
      <c r="BD453" s="73"/>
      <c r="BE453" s="73"/>
      <c r="BF453" s="73"/>
    </row>
    <row r="454" spans="1:58" s="68" customFormat="1" ht="20.100000000000001" customHeight="1" x14ac:dyDescent="0.25">
      <c r="S454" s="107"/>
      <c r="T454" s="107"/>
      <c r="U454" s="107"/>
      <c r="V454" s="86"/>
      <c r="W454" s="73"/>
      <c r="X454" s="73"/>
      <c r="Y454" s="73"/>
      <c r="Z454" s="73"/>
      <c r="AA454" s="73"/>
      <c r="AB454" s="73"/>
      <c r="AC454" s="73"/>
      <c r="AD454" s="73"/>
      <c r="AE454" s="73"/>
      <c r="AF454" s="73"/>
      <c r="AG454" s="73"/>
      <c r="AH454" s="73"/>
      <c r="AI454" s="73"/>
      <c r="AJ454" s="73"/>
      <c r="AK454" s="73"/>
      <c r="AL454" s="73"/>
      <c r="AM454" s="73"/>
      <c r="AN454" s="73"/>
      <c r="AO454" s="73"/>
      <c r="AP454" s="73"/>
      <c r="AQ454" s="73"/>
      <c r="AR454" s="73"/>
      <c r="AS454" s="73"/>
      <c r="AT454" s="73"/>
      <c r="AU454" s="73"/>
      <c r="AV454" s="73"/>
      <c r="AW454" s="73"/>
      <c r="AX454" s="73"/>
      <c r="AY454" s="73"/>
      <c r="AZ454" s="73"/>
      <c r="BA454" s="73"/>
      <c r="BB454" s="73"/>
      <c r="BC454" s="73"/>
      <c r="BD454" s="73"/>
      <c r="BE454" s="73"/>
      <c r="BF454" s="73"/>
    </row>
    <row r="455" spans="1:58" s="68" customFormat="1" ht="20.100000000000001" customHeight="1" x14ac:dyDescent="0.25">
      <c r="S455" s="107"/>
      <c r="T455" s="107"/>
      <c r="U455" s="107"/>
      <c r="V455" s="86"/>
      <c r="W455" s="73"/>
      <c r="X455" s="73"/>
      <c r="Y455" s="73"/>
      <c r="Z455" s="73"/>
      <c r="AA455" s="73"/>
      <c r="AB455" s="73"/>
      <c r="AC455" s="73"/>
      <c r="AD455" s="73"/>
      <c r="AE455" s="73"/>
      <c r="AF455" s="73"/>
      <c r="AG455" s="73"/>
      <c r="AH455" s="73"/>
      <c r="AI455" s="73"/>
      <c r="AJ455" s="73"/>
      <c r="AK455" s="73"/>
      <c r="AL455" s="73"/>
      <c r="AM455" s="73"/>
      <c r="AN455" s="73"/>
      <c r="AO455" s="73"/>
      <c r="AP455" s="73"/>
      <c r="AQ455" s="73"/>
      <c r="AR455" s="73"/>
      <c r="AS455" s="73"/>
      <c r="AT455" s="73"/>
      <c r="AU455" s="73"/>
      <c r="AV455" s="73"/>
      <c r="AW455" s="73"/>
      <c r="AX455" s="73"/>
      <c r="AY455" s="73"/>
      <c r="AZ455" s="73"/>
      <c r="BA455" s="73"/>
      <c r="BB455" s="73"/>
      <c r="BC455" s="73"/>
      <c r="BD455" s="73"/>
      <c r="BE455" s="73"/>
      <c r="BF455" s="73"/>
    </row>
    <row r="456" spans="1:58" s="68" customFormat="1" ht="20.100000000000001" customHeight="1" x14ac:dyDescent="0.25">
      <c r="A456" s="135" t="s">
        <v>468</v>
      </c>
      <c r="B456" s="135"/>
      <c r="C456" s="135"/>
      <c r="D456" s="135"/>
      <c r="E456" s="135"/>
      <c r="F456" s="135"/>
      <c r="G456" s="135"/>
      <c r="H456" s="135"/>
      <c r="I456" s="135"/>
      <c r="J456" s="135"/>
      <c r="K456" s="135"/>
      <c r="L456" s="135"/>
      <c r="M456" s="135"/>
      <c r="N456" s="135"/>
      <c r="O456" s="135"/>
      <c r="P456" s="135"/>
      <c r="Q456" s="135"/>
      <c r="R456" s="135"/>
      <c r="S456" s="107"/>
      <c r="T456" s="107"/>
      <c r="U456" s="107"/>
      <c r="V456" s="86"/>
      <c r="W456" s="73"/>
      <c r="X456" s="73"/>
      <c r="Y456" s="73"/>
      <c r="Z456" s="73"/>
      <c r="AA456" s="73"/>
      <c r="AB456" s="73"/>
      <c r="AC456" s="73"/>
      <c r="AD456" s="73"/>
      <c r="AE456" s="73"/>
      <c r="AF456" s="73"/>
      <c r="AG456" s="73"/>
      <c r="AH456" s="73"/>
      <c r="AI456" s="73"/>
      <c r="AJ456" s="73"/>
      <c r="AK456" s="73"/>
      <c r="AL456" s="73"/>
      <c r="AM456" s="73"/>
      <c r="AN456" s="73"/>
      <c r="AO456" s="73"/>
      <c r="AP456" s="73"/>
      <c r="AQ456" s="73"/>
      <c r="AR456" s="73"/>
      <c r="AS456" s="73"/>
      <c r="AT456" s="73"/>
      <c r="AU456" s="73"/>
      <c r="AV456" s="73"/>
      <c r="AW456" s="73"/>
      <c r="AX456" s="73"/>
      <c r="AY456" s="73"/>
      <c r="AZ456" s="73"/>
      <c r="BA456" s="73"/>
      <c r="BB456" s="73"/>
      <c r="BC456" s="73"/>
      <c r="BD456" s="73"/>
      <c r="BE456" s="73"/>
      <c r="BF456" s="73"/>
    </row>
    <row r="457" spans="1:58" s="68" customFormat="1" ht="20.100000000000001" customHeight="1" x14ac:dyDescent="0.25">
      <c r="S457" s="107"/>
      <c r="T457" s="107"/>
      <c r="U457" s="107"/>
      <c r="V457" s="86"/>
      <c r="W457" s="73"/>
      <c r="X457" s="73"/>
      <c r="Y457" s="73"/>
      <c r="Z457" s="73"/>
      <c r="AA457" s="73"/>
      <c r="AB457" s="73"/>
      <c r="AC457" s="73"/>
      <c r="AD457" s="73"/>
      <c r="AE457" s="73"/>
      <c r="AF457" s="73"/>
      <c r="AG457" s="73"/>
      <c r="AH457" s="73"/>
      <c r="AI457" s="73"/>
      <c r="AJ457" s="73"/>
      <c r="AK457" s="73"/>
      <c r="AL457" s="73"/>
      <c r="AM457" s="73"/>
      <c r="AN457" s="73"/>
      <c r="AO457" s="73"/>
      <c r="AP457" s="73"/>
      <c r="AQ457" s="73"/>
      <c r="AR457" s="73"/>
      <c r="AS457" s="73"/>
      <c r="AT457" s="73"/>
      <c r="AU457" s="73"/>
      <c r="AV457" s="73"/>
      <c r="AW457" s="73"/>
      <c r="AX457" s="73"/>
      <c r="AY457" s="73"/>
      <c r="AZ457" s="73"/>
      <c r="BA457" s="73"/>
      <c r="BB457" s="73"/>
      <c r="BC457" s="73"/>
      <c r="BD457" s="73"/>
      <c r="BE457" s="73"/>
      <c r="BF457" s="73"/>
    </row>
    <row r="458" spans="1:58" s="68" customFormat="1" ht="20.100000000000001" customHeight="1" x14ac:dyDescent="0.25">
      <c r="S458" s="107"/>
      <c r="T458" s="107"/>
      <c r="U458" s="107"/>
      <c r="V458" s="86"/>
      <c r="W458" s="73"/>
      <c r="X458" s="73"/>
      <c r="Y458" s="73"/>
      <c r="Z458" s="73"/>
      <c r="AA458" s="73"/>
      <c r="AB458" s="73"/>
      <c r="AC458" s="73"/>
      <c r="AD458" s="73"/>
      <c r="AE458" s="73"/>
      <c r="AF458" s="73"/>
      <c r="AG458" s="73"/>
      <c r="AH458" s="73"/>
      <c r="AI458" s="73"/>
      <c r="AJ458" s="73"/>
      <c r="AK458" s="73"/>
      <c r="AL458" s="73"/>
      <c r="AM458" s="73"/>
      <c r="AN458" s="73"/>
      <c r="AO458" s="73"/>
      <c r="AP458" s="73"/>
      <c r="AQ458" s="73"/>
      <c r="AR458" s="73"/>
      <c r="AS458" s="73"/>
      <c r="AT458" s="73"/>
      <c r="AU458" s="73"/>
      <c r="AV458" s="73"/>
      <c r="AW458" s="73"/>
      <c r="AX458" s="73"/>
      <c r="AY458" s="73"/>
      <c r="AZ458" s="73"/>
      <c r="BA458" s="73"/>
      <c r="BB458" s="73"/>
      <c r="BC458" s="73"/>
      <c r="BD458" s="73"/>
      <c r="BE458" s="73"/>
      <c r="BF458" s="73"/>
    </row>
    <row r="459" spans="1:58" s="68" customFormat="1" ht="20.100000000000001" customHeight="1" x14ac:dyDescent="0.25">
      <c r="S459" s="107"/>
      <c r="T459" s="107"/>
      <c r="U459" s="107"/>
      <c r="V459" s="86"/>
      <c r="W459" s="73"/>
      <c r="X459" s="73"/>
      <c r="Y459" s="73"/>
      <c r="Z459" s="73"/>
      <c r="AA459" s="73"/>
      <c r="AB459" s="73"/>
      <c r="AC459" s="73"/>
      <c r="AD459" s="73"/>
      <c r="AE459" s="73"/>
      <c r="AF459" s="73"/>
      <c r="AG459" s="73"/>
      <c r="AH459" s="73"/>
      <c r="AI459" s="73"/>
      <c r="AJ459" s="73"/>
      <c r="AK459" s="73"/>
      <c r="AL459" s="73"/>
      <c r="AM459" s="73"/>
      <c r="AN459" s="73"/>
      <c r="AO459" s="73"/>
      <c r="AP459" s="73"/>
      <c r="AQ459" s="73"/>
      <c r="AR459" s="73"/>
      <c r="AS459" s="73"/>
      <c r="AT459" s="73"/>
      <c r="AU459" s="73"/>
      <c r="AV459" s="73"/>
      <c r="AW459" s="73"/>
      <c r="AX459" s="73"/>
      <c r="AY459" s="73"/>
      <c r="AZ459" s="73"/>
      <c r="BA459" s="73"/>
      <c r="BB459" s="73"/>
      <c r="BC459" s="73"/>
      <c r="BD459" s="73"/>
      <c r="BE459" s="73"/>
      <c r="BF459" s="73"/>
    </row>
    <row r="460" spans="1:58" s="68" customFormat="1" ht="20.100000000000001" customHeight="1" x14ac:dyDescent="0.25">
      <c r="S460" s="107"/>
      <c r="T460" s="107"/>
      <c r="U460" s="107"/>
      <c r="V460" s="86"/>
      <c r="W460" s="73"/>
      <c r="X460" s="73"/>
      <c r="Y460" s="73"/>
      <c r="Z460" s="73"/>
      <c r="AA460" s="73"/>
      <c r="AB460" s="73"/>
      <c r="AC460" s="73"/>
      <c r="AD460" s="73"/>
      <c r="AE460" s="73"/>
      <c r="AF460" s="73"/>
      <c r="AG460" s="73"/>
      <c r="AH460" s="73"/>
      <c r="AI460" s="73"/>
      <c r="AJ460" s="73"/>
      <c r="AK460" s="73"/>
      <c r="AL460" s="73"/>
      <c r="AM460" s="73"/>
      <c r="AN460" s="73"/>
      <c r="AO460" s="73"/>
      <c r="AP460" s="73"/>
      <c r="AQ460" s="73"/>
      <c r="AR460" s="73"/>
      <c r="AS460" s="73"/>
      <c r="AT460" s="73"/>
      <c r="AU460" s="73"/>
      <c r="AV460" s="73"/>
      <c r="AW460" s="73"/>
      <c r="AX460" s="73"/>
      <c r="AY460" s="73"/>
      <c r="AZ460" s="73"/>
      <c r="BA460" s="73"/>
      <c r="BB460" s="73"/>
      <c r="BC460" s="73"/>
      <c r="BD460" s="73"/>
      <c r="BE460" s="73"/>
      <c r="BF460" s="73"/>
    </row>
    <row r="461" spans="1:58" s="68" customFormat="1" ht="20.100000000000001" customHeight="1" x14ac:dyDescent="0.25">
      <c r="S461" s="107"/>
      <c r="T461" s="107"/>
      <c r="U461" s="107"/>
      <c r="V461" s="86"/>
      <c r="W461" s="73"/>
      <c r="X461" s="73"/>
      <c r="Y461" s="73"/>
      <c r="Z461" s="73"/>
      <c r="AA461" s="73"/>
      <c r="AB461" s="73"/>
      <c r="AC461" s="73"/>
      <c r="AD461" s="73"/>
      <c r="AE461" s="73"/>
      <c r="AF461" s="73"/>
      <c r="AG461" s="73"/>
      <c r="AH461" s="73"/>
      <c r="AI461" s="73"/>
      <c r="AJ461" s="73"/>
      <c r="AK461" s="73"/>
      <c r="AL461" s="73"/>
      <c r="AM461" s="73"/>
      <c r="AN461" s="73"/>
      <c r="AO461" s="73"/>
      <c r="AP461" s="73"/>
      <c r="AQ461" s="73"/>
      <c r="AR461" s="73"/>
      <c r="AS461" s="73"/>
      <c r="AT461" s="73"/>
      <c r="AU461" s="73"/>
      <c r="AV461" s="73"/>
      <c r="AW461" s="73"/>
      <c r="AX461" s="73"/>
      <c r="AY461" s="73"/>
      <c r="AZ461" s="73"/>
      <c r="BA461" s="73"/>
      <c r="BB461" s="73"/>
      <c r="BC461" s="73"/>
      <c r="BD461" s="73"/>
      <c r="BE461" s="73"/>
      <c r="BF461" s="73"/>
    </row>
    <row r="462" spans="1:58" s="68" customFormat="1" ht="20.100000000000001" customHeight="1" x14ac:dyDescent="0.25">
      <c r="S462" s="107"/>
      <c r="T462" s="107"/>
      <c r="U462" s="107"/>
      <c r="V462" s="86"/>
      <c r="W462" s="73"/>
      <c r="X462" s="73"/>
      <c r="Y462" s="73"/>
      <c r="Z462" s="73"/>
      <c r="AA462" s="73"/>
      <c r="AB462" s="73"/>
      <c r="AC462" s="73"/>
      <c r="AD462" s="73"/>
      <c r="AE462" s="73"/>
      <c r="AF462" s="73"/>
      <c r="AG462" s="73"/>
      <c r="AH462" s="73"/>
      <c r="AI462" s="73"/>
      <c r="AJ462" s="73"/>
      <c r="AK462" s="73"/>
      <c r="AL462" s="73"/>
      <c r="AM462" s="73"/>
      <c r="AN462" s="73"/>
      <c r="AO462" s="73"/>
      <c r="AP462" s="73"/>
      <c r="AQ462" s="73"/>
      <c r="AR462" s="73"/>
      <c r="AS462" s="73"/>
      <c r="AT462" s="73"/>
      <c r="AU462" s="73"/>
      <c r="AV462" s="73"/>
      <c r="AW462" s="73"/>
      <c r="AX462" s="73"/>
      <c r="AY462" s="73"/>
      <c r="AZ462" s="73"/>
      <c r="BA462" s="73"/>
      <c r="BB462" s="73"/>
      <c r="BC462" s="73"/>
      <c r="BD462" s="73"/>
      <c r="BE462" s="73"/>
      <c r="BF462" s="73"/>
    </row>
    <row r="463" spans="1:58" s="68" customFormat="1" ht="20.100000000000001" customHeight="1" x14ac:dyDescent="0.25">
      <c r="A463" s="77"/>
      <c r="B463" s="77"/>
      <c r="C463" s="77"/>
      <c r="D463" s="77"/>
      <c r="E463" s="77"/>
      <c r="F463" s="77"/>
      <c r="G463" s="77"/>
      <c r="H463" s="77"/>
      <c r="I463" s="77"/>
      <c r="J463" s="77"/>
      <c r="K463" s="77"/>
      <c r="L463" s="77"/>
      <c r="M463" s="77"/>
      <c r="N463" s="77"/>
      <c r="P463" s="77"/>
      <c r="Q463" s="77"/>
      <c r="R463" s="77"/>
      <c r="S463" s="107"/>
      <c r="T463" s="107"/>
      <c r="U463" s="107"/>
      <c r="V463" s="86"/>
      <c r="W463" s="73"/>
      <c r="X463" s="73"/>
      <c r="Y463" s="73"/>
      <c r="Z463" s="73"/>
      <c r="AA463" s="73"/>
      <c r="AB463" s="73"/>
      <c r="AC463" s="73"/>
      <c r="AD463" s="73"/>
      <c r="AE463" s="73"/>
      <c r="AF463" s="73"/>
      <c r="AG463" s="73"/>
      <c r="AH463" s="73"/>
      <c r="AI463" s="73"/>
      <c r="AJ463" s="73"/>
      <c r="AK463" s="73"/>
      <c r="AL463" s="73"/>
      <c r="AM463" s="73"/>
      <c r="AN463" s="73"/>
      <c r="AO463" s="73"/>
      <c r="AP463" s="73"/>
      <c r="AQ463" s="73"/>
      <c r="AR463" s="73"/>
      <c r="AS463" s="73"/>
      <c r="AT463" s="73"/>
      <c r="AU463" s="73"/>
      <c r="AV463" s="73"/>
      <c r="AW463" s="73"/>
      <c r="AX463" s="73"/>
      <c r="AY463" s="73"/>
      <c r="AZ463" s="73"/>
      <c r="BA463" s="73"/>
      <c r="BB463" s="73"/>
      <c r="BC463" s="73"/>
      <c r="BD463" s="73"/>
      <c r="BE463" s="73"/>
      <c r="BF463" s="73"/>
    </row>
    <row r="464" spans="1:58" s="68" customFormat="1" ht="20.100000000000001" customHeight="1" x14ac:dyDescent="0.25">
      <c r="S464" s="107"/>
      <c r="T464" s="107"/>
      <c r="U464" s="107"/>
      <c r="V464" s="86"/>
      <c r="W464" s="73"/>
      <c r="X464" s="73"/>
      <c r="Y464" s="73"/>
      <c r="Z464" s="73"/>
      <c r="AA464" s="73"/>
      <c r="AB464" s="73"/>
      <c r="AC464" s="73"/>
      <c r="AD464" s="73"/>
      <c r="AE464" s="73"/>
      <c r="AF464" s="73"/>
      <c r="AG464" s="73"/>
      <c r="AH464" s="73"/>
      <c r="AI464" s="73"/>
      <c r="AJ464" s="73"/>
      <c r="AK464" s="73"/>
      <c r="AL464" s="73"/>
      <c r="AM464" s="73"/>
      <c r="AN464" s="73"/>
      <c r="AO464" s="73"/>
      <c r="AP464" s="73"/>
      <c r="AQ464" s="73"/>
      <c r="AR464" s="73"/>
      <c r="AS464" s="73"/>
      <c r="AT464" s="73"/>
      <c r="AU464" s="73"/>
      <c r="AV464" s="73"/>
      <c r="AW464" s="73"/>
      <c r="AX464" s="73"/>
      <c r="AY464" s="73"/>
      <c r="AZ464" s="73"/>
      <c r="BA464" s="73"/>
      <c r="BB464" s="73"/>
      <c r="BC464" s="73"/>
      <c r="BD464" s="73"/>
      <c r="BE464" s="73"/>
      <c r="BF464" s="73"/>
    </row>
    <row r="465" spans="1:58" s="68" customFormat="1" ht="20.100000000000001" customHeight="1" x14ac:dyDescent="0.25">
      <c r="S465" s="107"/>
      <c r="T465" s="107"/>
      <c r="U465" s="107"/>
      <c r="V465" s="86"/>
      <c r="W465" s="73"/>
      <c r="X465" s="73"/>
      <c r="Y465" s="73"/>
      <c r="Z465" s="73"/>
      <c r="AA465" s="73"/>
      <c r="AB465" s="73"/>
      <c r="AC465" s="73"/>
      <c r="AD465" s="73"/>
      <c r="AE465" s="73"/>
      <c r="AF465" s="73"/>
      <c r="AG465" s="73"/>
      <c r="AH465" s="73"/>
      <c r="AI465" s="73"/>
      <c r="AJ465" s="73"/>
      <c r="AK465" s="73"/>
      <c r="AL465" s="73"/>
      <c r="AM465" s="73"/>
      <c r="AN465" s="73"/>
      <c r="AO465" s="73"/>
      <c r="AP465" s="73"/>
      <c r="AQ465" s="73"/>
      <c r="AR465" s="73"/>
      <c r="AS465" s="73"/>
      <c r="AT465" s="73"/>
      <c r="AU465" s="73"/>
      <c r="AV465" s="73"/>
      <c r="AW465" s="73"/>
      <c r="AX465" s="73"/>
      <c r="AY465" s="73"/>
      <c r="AZ465" s="73"/>
      <c r="BA465" s="73"/>
      <c r="BB465" s="73"/>
      <c r="BC465" s="73"/>
      <c r="BD465" s="73"/>
      <c r="BE465" s="73"/>
      <c r="BF465" s="73"/>
    </row>
    <row r="466" spans="1:58" s="68" customFormat="1" ht="20.100000000000001" customHeight="1" x14ac:dyDescent="0.25">
      <c r="S466" s="107"/>
      <c r="T466" s="107"/>
      <c r="U466" s="107"/>
      <c r="V466" s="86"/>
      <c r="W466" s="73"/>
      <c r="X466" s="73"/>
      <c r="Y466" s="73"/>
      <c r="Z466" s="73"/>
      <c r="AA466" s="73"/>
      <c r="AB466" s="73"/>
      <c r="AC466" s="73"/>
      <c r="AD466" s="73"/>
      <c r="AE466" s="73"/>
      <c r="AF466" s="73"/>
      <c r="AG466" s="73"/>
      <c r="AH466" s="73"/>
      <c r="AI466" s="73"/>
      <c r="AJ466" s="73"/>
      <c r="AK466" s="73"/>
      <c r="AL466" s="73"/>
      <c r="AM466" s="73"/>
      <c r="AN466" s="73"/>
      <c r="AO466" s="73"/>
      <c r="AP466" s="73"/>
      <c r="AQ466" s="73"/>
      <c r="AR466" s="73"/>
      <c r="AS466" s="73"/>
      <c r="AT466" s="73"/>
      <c r="AU466" s="73"/>
      <c r="AV466" s="73"/>
      <c r="AW466" s="73"/>
      <c r="AX466" s="73"/>
      <c r="AY466" s="73"/>
      <c r="AZ466" s="73"/>
      <c r="BA466" s="73"/>
      <c r="BB466" s="73"/>
      <c r="BC466" s="73"/>
      <c r="BD466" s="73"/>
      <c r="BE466" s="73"/>
      <c r="BF466" s="73"/>
    </row>
    <row r="467" spans="1:58" s="68" customFormat="1" ht="20.100000000000001" customHeight="1" x14ac:dyDescent="0.25">
      <c r="S467" s="107"/>
      <c r="T467" s="107"/>
      <c r="U467" s="107"/>
      <c r="V467" s="86"/>
      <c r="W467" s="73"/>
      <c r="X467" s="73"/>
      <c r="Y467" s="73"/>
      <c r="Z467" s="73"/>
      <c r="AA467" s="73"/>
      <c r="AB467" s="73"/>
      <c r="AC467" s="73"/>
      <c r="AD467" s="73"/>
      <c r="AE467" s="73"/>
      <c r="AF467" s="73"/>
      <c r="AG467" s="73"/>
      <c r="AH467" s="73"/>
      <c r="AI467" s="73"/>
      <c r="AJ467" s="73"/>
      <c r="AK467" s="73"/>
      <c r="AL467" s="73"/>
      <c r="AM467" s="73"/>
      <c r="AN467" s="73"/>
      <c r="AO467" s="73"/>
      <c r="AP467" s="73"/>
      <c r="AQ467" s="73"/>
      <c r="AR467" s="73"/>
      <c r="AS467" s="73"/>
      <c r="AT467" s="73"/>
      <c r="AU467" s="73"/>
      <c r="AV467" s="73"/>
      <c r="AW467" s="73"/>
      <c r="AX467" s="73"/>
      <c r="AY467" s="73"/>
      <c r="AZ467" s="73"/>
      <c r="BA467" s="73"/>
      <c r="BB467" s="73"/>
      <c r="BC467" s="73"/>
      <c r="BD467" s="73"/>
      <c r="BE467" s="73"/>
      <c r="BF467" s="73"/>
    </row>
    <row r="468" spans="1:58" s="68" customFormat="1" ht="20.100000000000001" customHeight="1" x14ac:dyDescent="0.25">
      <c r="S468" s="107"/>
      <c r="T468" s="107"/>
      <c r="U468" s="107"/>
      <c r="V468" s="86"/>
      <c r="W468" s="73"/>
      <c r="X468" s="73"/>
      <c r="Y468" s="73"/>
      <c r="Z468" s="73"/>
      <c r="AA468" s="73"/>
      <c r="AB468" s="73"/>
      <c r="AC468" s="73"/>
      <c r="AD468" s="73"/>
      <c r="AE468" s="73"/>
      <c r="AF468" s="73"/>
      <c r="AG468" s="73"/>
      <c r="AH468" s="73"/>
      <c r="AI468" s="73"/>
      <c r="AJ468" s="73"/>
      <c r="AK468" s="73"/>
      <c r="AL468" s="73"/>
      <c r="AM468" s="73"/>
      <c r="AN468" s="73"/>
      <c r="AO468" s="73"/>
      <c r="AP468" s="73"/>
      <c r="AQ468" s="73"/>
      <c r="AR468" s="73"/>
      <c r="AS468" s="73"/>
      <c r="AT468" s="73"/>
      <c r="AU468" s="73"/>
      <c r="AV468" s="73"/>
      <c r="AW468" s="73"/>
      <c r="AX468" s="73"/>
      <c r="AY468" s="73"/>
      <c r="AZ468" s="73"/>
      <c r="BA468" s="73"/>
      <c r="BB468" s="73"/>
      <c r="BC468" s="73"/>
      <c r="BD468" s="73"/>
      <c r="BE468" s="73"/>
      <c r="BF468" s="73"/>
    </row>
    <row r="469" spans="1:58" s="68" customFormat="1" ht="20.100000000000001" customHeight="1" x14ac:dyDescent="0.25">
      <c r="S469" s="107"/>
      <c r="T469" s="107"/>
      <c r="U469" s="107"/>
      <c r="V469" s="86"/>
      <c r="W469" s="73"/>
      <c r="X469" s="73"/>
      <c r="Y469" s="73"/>
      <c r="Z469" s="73"/>
      <c r="AA469" s="73"/>
      <c r="AB469" s="73"/>
      <c r="AC469" s="73"/>
      <c r="AD469" s="73"/>
      <c r="AE469" s="73"/>
      <c r="AF469" s="73"/>
      <c r="AG469" s="73"/>
      <c r="AH469" s="73"/>
      <c r="AI469" s="73"/>
      <c r="AJ469" s="73"/>
      <c r="AK469" s="73"/>
      <c r="AL469" s="73"/>
      <c r="AM469" s="73"/>
      <c r="AN469" s="73"/>
      <c r="AO469" s="73"/>
      <c r="AP469" s="73"/>
      <c r="AQ469" s="73"/>
      <c r="AR469" s="73"/>
      <c r="AS469" s="73"/>
      <c r="AT469" s="73"/>
      <c r="AU469" s="73"/>
      <c r="AV469" s="73"/>
      <c r="AW469" s="73"/>
      <c r="AX469" s="73"/>
      <c r="AY469" s="73"/>
      <c r="AZ469" s="73"/>
      <c r="BA469" s="73"/>
      <c r="BB469" s="73"/>
      <c r="BC469" s="73"/>
      <c r="BD469" s="73"/>
      <c r="BE469" s="73"/>
      <c r="BF469" s="73"/>
    </row>
    <row r="470" spans="1:58" s="68" customFormat="1" ht="20.100000000000001" customHeight="1" x14ac:dyDescent="0.25">
      <c r="S470" s="107"/>
      <c r="T470" s="107"/>
      <c r="U470" s="107"/>
      <c r="V470" s="86"/>
      <c r="W470" s="73"/>
      <c r="X470" s="73"/>
      <c r="Y470" s="73"/>
      <c r="Z470" s="73"/>
      <c r="AA470" s="73"/>
      <c r="AB470" s="73"/>
      <c r="AC470" s="73"/>
      <c r="AD470" s="73"/>
      <c r="AE470" s="73"/>
      <c r="AF470" s="73"/>
      <c r="AG470" s="73"/>
      <c r="AH470" s="73"/>
      <c r="AI470" s="73"/>
      <c r="AJ470" s="73"/>
      <c r="AK470" s="73"/>
      <c r="AL470" s="73"/>
      <c r="AM470" s="73"/>
      <c r="AN470" s="73"/>
      <c r="AO470" s="73"/>
      <c r="AP470" s="73"/>
      <c r="AQ470" s="73"/>
      <c r="AR470" s="73"/>
      <c r="AS470" s="73"/>
      <c r="AT470" s="73"/>
      <c r="AU470" s="73"/>
      <c r="AV470" s="73"/>
      <c r="AW470" s="73"/>
      <c r="AX470" s="73"/>
      <c r="AY470" s="73"/>
      <c r="AZ470" s="73"/>
      <c r="BA470" s="73"/>
      <c r="BB470" s="73"/>
      <c r="BC470" s="73"/>
      <c r="BD470" s="73"/>
      <c r="BE470" s="73"/>
      <c r="BF470" s="73"/>
    </row>
    <row r="471" spans="1:58" s="68" customFormat="1" ht="20.100000000000001" customHeight="1" x14ac:dyDescent="0.25">
      <c r="A471" s="146" t="s">
        <v>76</v>
      </c>
      <c r="B471" s="146"/>
      <c r="C471" s="146"/>
      <c r="D471" s="146"/>
      <c r="E471" s="146"/>
      <c r="F471" s="146"/>
      <c r="G471" s="146"/>
      <c r="H471" s="146"/>
      <c r="I471" s="146"/>
      <c r="J471" s="146"/>
      <c r="K471" s="146"/>
      <c r="L471" s="147"/>
      <c r="M471" s="147"/>
      <c r="N471" s="147"/>
      <c r="O471" s="147"/>
      <c r="P471" s="147"/>
      <c r="Q471" s="147"/>
      <c r="R471" s="147"/>
      <c r="S471" s="107"/>
      <c r="T471" s="107"/>
      <c r="U471" s="107"/>
      <c r="V471" s="86"/>
      <c r="W471" s="73"/>
      <c r="X471" s="73"/>
      <c r="Y471" s="73"/>
      <c r="Z471" s="73"/>
      <c r="AA471" s="73"/>
      <c r="AB471" s="73"/>
      <c r="AC471" s="73"/>
      <c r="AD471" s="73"/>
      <c r="AE471" s="73"/>
      <c r="AF471" s="73"/>
      <c r="AG471" s="73"/>
      <c r="AH471" s="73"/>
      <c r="AI471" s="73"/>
      <c r="AJ471" s="73"/>
      <c r="AK471" s="73"/>
      <c r="AL471" s="73"/>
      <c r="AM471" s="73"/>
      <c r="AN471" s="73"/>
      <c r="AO471" s="73"/>
      <c r="AP471" s="73"/>
      <c r="AQ471" s="73"/>
      <c r="AR471" s="73"/>
      <c r="AS471" s="73"/>
      <c r="AT471" s="73"/>
      <c r="AU471" s="73"/>
      <c r="AV471" s="73"/>
      <c r="AW471" s="73"/>
      <c r="AX471" s="73"/>
      <c r="AY471" s="73"/>
      <c r="AZ471" s="73"/>
      <c r="BA471" s="73"/>
      <c r="BB471" s="73"/>
      <c r="BC471" s="73"/>
      <c r="BD471" s="73"/>
      <c r="BE471" s="73"/>
      <c r="BF471" s="73"/>
    </row>
    <row r="472" spans="1:58" s="68" customFormat="1" ht="20.100000000000001" customHeight="1" x14ac:dyDescent="0.25">
      <c r="A472" s="135" t="s">
        <v>77</v>
      </c>
      <c r="B472" s="135"/>
      <c r="C472" s="135"/>
      <c r="D472" s="135"/>
      <c r="E472" s="135"/>
      <c r="F472" s="135"/>
      <c r="G472" s="135"/>
      <c r="H472" s="135"/>
      <c r="I472" s="135"/>
      <c r="J472" s="135"/>
      <c r="K472" s="135"/>
      <c r="L472" s="136">
        <v>3</v>
      </c>
      <c r="M472" s="136"/>
      <c r="N472" s="136"/>
      <c r="O472" s="136"/>
      <c r="P472" s="136"/>
      <c r="Q472" s="136"/>
      <c r="R472" s="136"/>
      <c r="S472" s="139" t="str">
        <f>IF(L474&gt;0.01,"Reduzir o número de casas decimais","")</f>
        <v/>
      </c>
      <c r="T472" s="139"/>
      <c r="U472" s="107"/>
      <c r="V472" s="86"/>
      <c r="W472" s="73"/>
      <c r="X472" s="73"/>
      <c r="Y472" s="73"/>
      <c r="Z472" s="73"/>
      <c r="AA472" s="73"/>
      <c r="AB472" s="73"/>
      <c r="AC472" s="73"/>
      <c r="AD472" s="73"/>
      <c r="AE472" s="73"/>
      <c r="AF472" s="73"/>
      <c r="AG472" s="73"/>
      <c r="AH472" s="73"/>
      <c r="AI472" s="73"/>
      <c r="AJ472" s="73"/>
      <c r="AK472" s="73"/>
      <c r="AL472" s="73"/>
      <c r="AM472" s="73"/>
      <c r="AN472" s="73"/>
      <c r="AO472" s="73"/>
      <c r="AP472" s="73"/>
      <c r="AQ472" s="73"/>
      <c r="AR472" s="73"/>
      <c r="AS472" s="73"/>
      <c r="AT472" s="73"/>
      <c r="AU472" s="73"/>
      <c r="AV472" s="73"/>
      <c r="AW472" s="73"/>
      <c r="AX472" s="73"/>
      <c r="AY472" s="73"/>
      <c r="AZ472" s="73"/>
      <c r="BA472" s="73"/>
      <c r="BB472" s="73"/>
      <c r="BC472" s="73"/>
      <c r="BD472" s="73"/>
      <c r="BE472" s="73"/>
      <c r="BF472" s="73"/>
    </row>
    <row r="473" spans="1:58" s="68" customFormat="1" ht="20.100000000000001" customHeight="1" x14ac:dyDescent="0.25">
      <c r="A473" s="137" t="s">
        <v>78</v>
      </c>
      <c r="B473" s="137"/>
      <c r="C473" s="137"/>
      <c r="D473" s="137"/>
      <c r="E473" s="137"/>
      <c r="F473" s="137"/>
      <c r="G473" s="137"/>
      <c r="H473" s="137"/>
      <c r="I473" s="137"/>
      <c r="J473" s="137"/>
      <c r="K473" s="137"/>
      <c r="L473" s="140">
        <f>L476-L453</f>
        <v>99.863108310324606</v>
      </c>
      <c r="M473" s="137"/>
      <c r="N473" s="137"/>
      <c r="O473" s="137"/>
      <c r="P473" s="137"/>
      <c r="Q473" s="137"/>
      <c r="R473" s="137"/>
      <c r="S473" s="107"/>
      <c r="T473" s="107"/>
      <c r="U473" s="107"/>
      <c r="V473" s="86"/>
      <c r="W473" s="73"/>
      <c r="X473" s="73"/>
      <c r="Y473" s="73"/>
      <c r="Z473" s="73"/>
      <c r="AA473" s="73"/>
      <c r="AB473" s="73"/>
      <c r="AC473" s="73"/>
      <c r="AD473" s="73"/>
      <c r="AE473" s="73"/>
      <c r="AF473" s="73"/>
      <c r="AG473" s="73"/>
      <c r="AH473" s="73"/>
      <c r="AI473" s="73"/>
      <c r="AJ473" s="73"/>
      <c r="AK473" s="73"/>
      <c r="AL473" s="73"/>
      <c r="AM473" s="73"/>
      <c r="AN473" s="73"/>
      <c r="AO473" s="73"/>
      <c r="AP473" s="73"/>
      <c r="AQ473" s="73"/>
      <c r="AR473" s="73"/>
      <c r="AS473" s="73"/>
      <c r="AT473" s="73"/>
      <c r="AU473" s="73"/>
      <c r="AV473" s="73"/>
      <c r="AW473" s="73"/>
      <c r="AX473" s="73"/>
      <c r="AY473" s="73"/>
      <c r="AZ473" s="73"/>
      <c r="BA473" s="73"/>
      <c r="BB473" s="73"/>
      <c r="BC473" s="73"/>
      <c r="BD473" s="73"/>
      <c r="BE473" s="73"/>
      <c r="BF473" s="73"/>
    </row>
    <row r="474" spans="1:58" s="68" customFormat="1" ht="20.100000000000001" customHeight="1" x14ac:dyDescent="0.25">
      <c r="A474" s="137" t="s">
        <v>79</v>
      </c>
      <c r="B474" s="137"/>
      <c r="C474" s="137"/>
      <c r="D474" s="137"/>
      <c r="E474" s="137"/>
      <c r="F474" s="137"/>
      <c r="G474" s="137"/>
      <c r="H474" s="137"/>
      <c r="I474" s="137"/>
      <c r="J474" s="137"/>
      <c r="K474" s="137"/>
      <c r="L474" s="138">
        <f>L473/L453</f>
        <v>3.5299773767362262E-4</v>
      </c>
      <c r="M474" s="138"/>
      <c r="N474" s="138"/>
      <c r="O474" s="138"/>
      <c r="P474" s="138"/>
      <c r="Q474" s="138"/>
      <c r="R474" s="138"/>
      <c r="S474" s="107"/>
      <c r="T474" s="107"/>
      <c r="U474" s="107"/>
      <c r="V474" s="86"/>
      <c r="W474" s="73"/>
      <c r="X474" s="73"/>
      <c r="Y474" s="73"/>
      <c r="Z474" s="73"/>
      <c r="AA474" s="73"/>
      <c r="AB474" s="73"/>
      <c r="AC474" s="73"/>
      <c r="AD474" s="73"/>
      <c r="AE474" s="73"/>
      <c r="AF474" s="73"/>
      <c r="AG474" s="73"/>
      <c r="AH474" s="73"/>
      <c r="AI474" s="73"/>
      <c r="AJ474" s="73"/>
      <c r="AK474" s="73"/>
      <c r="AL474" s="73"/>
      <c r="AM474" s="73"/>
      <c r="AN474" s="73"/>
      <c r="AO474" s="73"/>
      <c r="AP474" s="73"/>
      <c r="AQ474" s="73"/>
      <c r="AR474" s="73"/>
      <c r="AS474" s="73"/>
      <c r="AT474" s="73"/>
      <c r="AU474" s="73"/>
      <c r="AV474" s="73"/>
      <c r="AW474" s="73"/>
      <c r="AX474" s="73"/>
      <c r="AY474" s="73"/>
      <c r="AZ474" s="73"/>
      <c r="BA474" s="73"/>
      <c r="BB474" s="73"/>
      <c r="BC474" s="73"/>
      <c r="BD474" s="73"/>
      <c r="BE474" s="73"/>
      <c r="BF474" s="73"/>
    </row>
    <row r="475" spans="1:58" s="68" customFormat="1" ht="20.100000000000001" customHeight="1" x14ac:dyDescent="0.25">
      <c r="S475" s="107"/>
      <c r="T475" s="107"/>
      <c r="U475" s="107"/>
      <c r="V475" s="86"/>
      <c r="W475" s="73"/>
      <c r="X475" s="73"/>
      <c r="Y475" s="73"/>
      <c r="Z475" s="73"/>
      <c r="AA475" s="73"/>
      <c r="AB475" s="73"/>
      <c r="AC475" s="73"/>
      <c r="AD475" s="73"/>
      <c r="AE475" s="73"/>
      <c r="AF475" s="73"/>
      <c r="AG475" s="73"/>
      <c r="AH475" s="73"/>
      <c r="AI475" s="73"/>
      <c r="AJ475" s="73"/>
      <c r="AK475" s="73"/>
      <c r="AL475" s="73"/>
      <c r="AM475" s="73"/>
      <c r="AN475" s="73"/>
      <c r="AO475" s="73"/>
      <c r="AP475" s="73"/>
      <c r="AQ475" s="73"/>
      <c r="AR475" s="73"/>
      <c r="AS475" s="73"/>
      <c r="AT475" s="73"/>
      <c r="AU475" s="73"/>
      <c r="AV475" s="73"/>
      <c r="AW475" s="73"/>
      <c r="AX475" s="73"/>
      <c r="AY475" s="73"/>
      <c r="AZ475" s="73"/>
      <c r="BA475" s="73"/>
      <c r="BB475" s="73"/>
      <c r="BC475" s="73"/>
      <c r="BD475" s="73"/>
      <c r="BE475" s="73"/>
      <c r="BF475" s="73"/>
    </row>
    <row r="476" spans="1:58" s="68" customFormat="1" ht="20.100000000000001" customHeight="1" x14ac:dyDescent="0.25">
      <c r="A476" s="141" t="s">
        <v>75</v>
      </c>
      <c r="B476" s="141"/>
      <c r="C476" s="141"/>
      <c r="D476" s="141"/>
      <c r="E476" s="141"/>
      <c r="F476" s="141"/>
      <c r="G476" s="141"/>
      <c r="H476" s="141"/>
      <c r="I476" s="141"/>
      <c r="J476" s="141"/>
      <c r="K476" s="141"/>
      <c r="L476" s="142">
        <f>ROUNDUP(L453,-L472)</f>
        <v>283000</v>
      </c>
      <c r="M476" s="142"/>
      <c r="N476" s="142"/>
      <c r="O476" s="142"/>
      <c r="P476" s="142"/>
      <c r="Q476" s="142"/>
      <c r="R476" s="142"/>
      <c r="S476" s="107"/>
      <c r="T476" s="107"/>
      <c r="U476" s="107"/>
      <c r="V476" s="86"/>
      <c r="W476" s="73"/>
      <c r="X476" s="73"/>
      <c r="Y476" s="73"/>
      <c r="Z476" s="73"/>
      <c r="AA476" s="73"/>
      <c r="AB476" s="73"/>
      <c r="AC476" s="73"/>
      <c r="AD476" s="73"/>
      <c r="AE476" s="73"/>
      <c r="AF476" s="73"/>
      <c r="AG476" s="73"/>
      <c r="AH476" s="73"/>
      <c r="AI476" s="73"/>
      <c r="AJ476" s="73"/>
      <c r="AK476" s="73"/>
      <c r="AL476" s="73"/>
      <c r="AM476" s="73"/>
      <c r="AN476" s="73"/>
      <c r="AO476" s="73"/>
      <c r="AP476" s="73"/>
      <c r="AQ476" s="73"/>
      <c r="AR476" s="73"/>
      <c r="AS476" s="73"/>
      <c r="AT476" s="73"/>
      <c r="AU476" s="73"/>
      <c r="AV476" s="73"/>
      <c r="AW476" s="73"/>
      <c r="AX476" s="73"/>
      <c r="AY476" s="73"/>
      <c r="AZ476" s="73"/>
      <c r="BA476" s="73"/>
      <c r="BB476" s="73"/>
      <c r="BC476" s="73"/>
      <c r="BD476" s="73"/>
      <c r="BE476" s="73"/>
      <c r="BF476" s="73"/>
    </row>
    <row r="477" spans="1:58" s="68" customFormat="1" ht="20.100000000000001" customHeight="1" x14ac:dyDescent="0.25">
      <c r="S477" s="107"/>
      <c r="T477" s="107"/>
      <c r="U477" s="107"/>
      <c r="V477" s="86"/>
      <c r="W477" s="73"/>
      <c r="X477" s="73"/>
      <c r="Y477" s="73"/>
      <c r="Z477" s="73"/>
      <c r="AA477" s="73"/>
      <c r="AB477" s="73"/>
      <c r="AC477" s="73"/>
      <c r="AD477" s="73"/>
      <c r="AE477" s="73"/>
      <c r="AF477" s="73"/>
      <c r="AG477" s="73"/>
      <c r="AH477" s="73"/>
      <c r="AI477" s="73"/>
      <c r="AJ477" s="73"/>
      <c r="AK477" s="73"/>
      <c r="AL477" s="73"/>
      <c r="AM477" s="73"/>
      <c r="AN477" s="73"/>
      <c r="AO477" s="73"/>
      <c r="AP477" s="73"/>
      <c r="AQ477" s="73"/>
      <c r="AR477" s="73"/>
      <c r="AS477" s="73"/>
      <c r="AT477" s="73"/>
      <c r="AU477" s="73"/>
      <c r="AV477" s="73"/>
      <c r="AW477" s="73"/>
      <c r="AX477" s="73"/>
      <c r="AY477" s="73"/>
      <c r="AZ477" s="73"/>
      <c r="BA477" s="73"/>
      <c r="BB477" s="73"/>
      <c r="BC477" s="73"/>
      <c r="BD477" s="73"/>
      <c r="BE477" s="73"/>
      <c r="BF477" s="73"/>
    </row>
    <row r="478" spans="1:58" s="68" customFormat="1" ht="20.100000000000001" customHeight="1" x14ac:dyDescent="0.25">
      <c r="S478" s="107"/>
      <c r="T478" s="107"/>
      <c r="U478" s="107"/>
      <c r="V478" s="86"/>
      <c r="W478" s="73"/>
      <c r="X478" s="73"/>
      <c r="Y478" s="73"/>
      <c r="Z478" s="73"/>
      <c r="AA478" s="73"/>
      <c r="AB478" s="73"/>
      <c r="AC478" s="73"/>
      <c r="AD478" s="73"/>
      <c r="AE478" s="73"/>
      <c r="AF478" s="73"/>
      <c r="AG478" s="73"/>
      <c r="AH478" s="73"/>
      <c r="AI478" s="73"/>
      <c r="AJ478" s="73"/>
      <c r="AK478" s="73"/>
      <c r="AL478" s="73"/>
      <c r="AM478" s="73"/>
      <c r="AN478" s="73"/>
      <c r="AO478" s="73"/>
      <c r="AP478" s="73"/>
      <c r="AQ478" s="73"/>
      <c r="AR478" s="73"/>
      <c r="AS478" s="73"/>
      <c r="AT478" s="73"/>
      <c r="AU478" s="73"/>
      <c r="AV478" s="73"/>
      <c r="AW478" s="73"/>
      <c r="AX478" s="73"/>
      <c r="AY478" s="73"/>
      <c r="AZ478" s="73"/>
      <c r="BA478" s="73"/>
      <c r="BB478" s="73"/>
      <c r="BC478" s="73"/>
      <c r="BD478" s="73"/>
      <c r="BE478" s="73"/>
      <c r="BF478" s="73"/>
    </row>
    <row r="479" spans="1:58" s="68" customFormat="1" ht="20.100000000000001" customHeight="1" x14ac:dyDescent="0.25">
      <c r="A479" s="134"/>
      <c r="B479" s="134"/>
      <c r="C479" s="134"/>
      <c r="D479" s="134"/>
      <c r="E479" s="134"/>
      <c r="F479" s="134"/>
      <c r="G479" s="134"/>
      <c r="H479" s="134"/>
      <c r="I479" s="134"/>
      <c r="J479" s="134"/>
      <c r="K479" s="134"/>
      <c r="L479" s="134"/>
      <c r="M479" s="134"/>
      <c r="N479" s="134"/>
      <c r="O479" s="134"/>
      <c r="P479" s="134"/>
      <c r="Q479" s="134"/>
      <c r="R479" s="134"/>
      <c r="S479" s="107"/>
      <c r="T479" s="107"/>
      <c r="U479" s="107"/>
      <c r="V479" s="86"/>
      <c r="W479" s="73"/>
      <c r="X479" s="73"/>
      <c r="Y479" s="73"/>
      <c r="Z479" s="73"/>
      <c r="AA479" s="73"/>
      <c r="AB479" s="73"/>
      <c r="AC479" s="73"/>
      <c r="AD479" s="73"/>
      <c r="AE479" s="73"/>
      <c r="AF479" s="73"/>
      <c r="AG479" s="73"/>
      <c r="AH479" s="73"/>
      <c r="AI479" s="73"/>
      <c r="AJ479" s="73"/>
      <c r="AK479" s="73"/>
      <c r="AL479" s="73"/>
      <c r="AM479" s="73"/>
      <c r="AN479" s="73"/>
      <c r="AO479" s="73"/>
      <c r="AP479" s="73"/>
      <c r="AQ479" s="73"/>
      <c r="AR479" s="73"/>
      <c r="AS479" s="73"/>
      <c r="AT479" s="73"/>
      <c r="AU479" s="73"/>
      <c r="AV479" s="73"/>
      <c r="AW479" s="73"/>
      <c r="AX479" s="73"/>
      <c r="AY479" s="73"/>
      <c r="AZ479" s="73"/>
      <c r="BA479" s="73"/>
      <c r="BB479" s="73"/>
      <c r="BC479" s="73"/>
      <c r="BD479" s="73"/>
      <c r="BE479" s="73"/>
      <c r="BF479" s="73"/>
    </row>
    <row r="480" spans="1:58" s="68" customFormat="1" ht="20.100000000000001" customHeight="1" x14ac:dyDescent="0.25">
      <c r="A480" s="134" t="s">
        <v>84</v>
      </c>
      <c r="B480" s="134"/>
      <c r="C480" s="134"/>
      <c r="D480" s="134"/>
      <c r="E480" s="134"/>
      <c r="F480" s="134"/>
      <c r="G480" s="134"/>
      <c r="H480" s="134"/>
      <c r="I480" s="134"/>
      <c r="J480" s="134"/>
      <c r="K480" s="134"/>
      <c r="L480" s="134"/>
      <c r="M480" s="134"/>
      <c r="N480" s="134"/>
      <c r="O480" s="134"/>
      <c r="P480" s="134"/>
      <c r="Q480" s="134"/>
      <c r="R480" s="134"/>
      <c r="S480" s="107"/>
      <c r="T480" s="107"/>
      <c r="U480" s="107"/>
      <c r="V480" s="86"/>
      <c r="W480" s="73"/>
      <c r="X480" s="73"/>
      <c r="Y480" s="73"/>
      <c r="Z480" s="73"/>
      <c r="AA480" s="73"/>
      <c r="AB480" s="73"/>
      <c r="AC480" s="73"/>
      <c r="AD480" s="73"/>
      <c r="AE480" s="73"/>
      <c r="AF480" s="73"/>
      <c r="AG480" s="73"/>
      <c r="AH480" s="73"/>
      <c r="AI480" s="73"/>
      <c r="AJ480" s="73"/>
      <c r="AK480" s="73"/>
      <c r="AL480" s="73"/>
      <c r="AM480" s="73"/>
      <c r="AN480" s="73"/>
      <c r="AO480" s="73"/>
      <c r="AP480" s="73"/>
      <c r="AQ480" s="73"/>
      <c r="AR480" s="73"/>
      <c r="AS480" s="73"/>
      <c r="AT480" s="73"/>
      <c r="AU480" s="73"/>
      <c r="AV480" s="73"/>
      <c r="AW480" s="73"/>
      <c r="AX480" s="73"/>
      <c r="AY480" s="73"/>
      <c r="AZ480" s="73"/>
      <c r="BA480" s="73"/>
      <c r="BB480" s="73"/>
      <c r="BC480" s="73"/>
      <c r="BD480" s="73"/>
      <c r="BE480" s="73"/>
      <c r="BF480" s="73"/>
    </row>
    <row r="481" spans="1:58" s="68" customFormat="1" ht="20.100000000000001" customHeight="1" x14ac:dyDescent="0.25">
      <c r="A481" s="134" t="s">
        <v>83</v>
      </c>
      <c r="B481" s="134"/>
      <c r="C481" s="134"/>
      <c r="D481" s="134"/>
      <c r="E481" s="134"/>
      <c r="F481" s="134"/>
      <c r="G481" s="134"/>
      <c r="H481" s="134"/>
      <c r="I481" s="134"/>
      <c r="J481" s="134"/>
      <c r="K481" s="134"/>
      <c r="L481" s="134"/>
      <c r="M481" s="134"/>
      <c r="N481" s="134"/>
      <c r="O481" s="134"/>
      <c r="P481" s="134"/>
      <c r="Q481" s="134"/>
      <c r="R481" s="134"/>
      <c r="S481" s="107"/>
      <c r="T481" s="107"/>
      <c r="U481" s="107"/>
      <c r="V481" s="86"/>
      <c r="W481" s="73"/>
      <c r="X481" s="73"/>
      <c r="Y481" s="73"/>
      <c r="Z481" s="73"/>
      <c r="AA481" s="73"/>
      <c r="AB481" s="73"/>
      <c r="AC481" s="73"/>
      <c r="AD481" s="73"/>
      <c r="AE481" s="73"/>
      <c r="AF481" s="73"/>
      <c r="AG481" s="73"/>
      <c r="AH481" s="73"/>
      <c r="AI481" s="73"/>
      <c r="AJ481" s="73"/>
      <c r="AK481" s="73"/>
      <c r="AL481" s="73"/>
      <c r="AM481" s="73"/>
      <c r="AN481" s="73"/>
      <c r="AO481" s="73"/>
      <c r="AP481" s="73"/>
      <c r="AQ481" s="73"/>
      <c r="AR481" s="73"/>
      <c r="AS481" s="73"/>
      <c r="AT481" s="73"/>
      <c r="AU481" s="73"/>
      <c r="AV481" s="73"/>
      <c r="AW481" s="73"/>
      <c r="AX481" s="73"/>
      <c r="AY481" s="73"/>
      <c r="AZ481" s="73"/>
      <c r="BA481" s="73"/>
      <c r="BB481" s="73"/>
      <c r="BC481" s="73"/>
      <c r="BD481" s="73"/>
      <c r="BE481" s="73"/>
      <c r="BF481" s="73"/>
    </row>
    <row r="482" spans="1:58" s="68" customFormat="1" ht="20.100000000000001" customHeight="1" x14ac:dyDescent="0.25">
      <c r="S482" s="107"/>
      <c r="T482" s="107"/>
      <c r="U482" s="107"/>
      <c r="V482" s="86"/>
      <c r="W482" s="73"/>
      <c r="X482" s="73"/>
      <c r="Y482" s="73"/>
      <c r="Z482" s="73"/>
      <c r="AA482" s="73"/>
      <c r="AB482" s="73"/>
      <c r="AC482" s="73"/>
      <c r="AD482" s="73"/>
      <c r="AE482" s="73"/>
      <c r="AF482" s="73"/>
      <c r="AG482" s="73"/>
      <c r="AH482" s="73"/>
      <c r="AI482" s="73"/>
      <c r="AJ482" s="73"/>
      <c r="AK482" s="73"/>
      <c r="AL482" s="73"/>
      <c r="AM482" s="73"/>
      <c r="AN482" s="73"/>
      <c r="AO482" s="73"/>
      <c r="AP482" s="73"/>
      <c r="AQ482" s="73"/>
      <c r="AR482" s="73"/>
      <c r="AS482" s="73"/>
      <c r="AT482" s="73"/>
      <c r="AU482" s="73"/>
      <c r="AV482" s="73"/>
      <c r="AW482" s="73"/>
      <c r="AX482" s="73"/>
      <c r="AY482" s="73"/>
      <c r="AZ482" s="73"/>
      <c r="BA482" s="73"/>
      <c r="BB482" s="73"/>
      <c r="BC482" s="73"/>
      <c r="BD482" s="73"/>
      <c r="BE482" s="73"/>
      <c r="BF482" s="73"/>
    </row>
    <row r="483" spans="1:58" s="68" customFormat="1" ht="20.100000000000001" customHeight="1" x14ac:dyDescent="0.25">
      <c r="S483" s="107"/>
      <c r="T483" s="107"/>
      <c r="U483" s="107"/>
      <c r="V483" s="86"/>
      <c r="W483" s="73"/>
      <c r="X483" s="73"/>
      <c r="Y483" s="73"/>
      <c r="Z483" s="73"/>
      <c r="AA483" s="73"/>
      <c r="AB483" s="73"/>
      <c r="AC483" s="73"/>
      <c r="AD483" s="73"/>
      <c r="AE483" s="73"/>
      <c r="AF483" s="73"/>
      <c r="AG483" s="73"/>
      <c r="AH483" s="73"/>
      <c r="AI483" s="73"/>
      <c r="AJ483" s="73"/>
      <c r="AK483" s="73"/>
      <c r="AL483" s="73"/>
      <c r="AM483" s="73"/>
      <c r="AN483" s="73"/>
      <c r="AO483" s="73"/>
      <c r="AP483" s="73"/>
      <c r="AQ483" s="73"/>
      <c r="AR483" s="73"/>
      <c r="AS483" s="73"/>
      <c r="AT483" s="73"/>
      <c r="AU483" s="73"/>
      <c r="AV483" s="73"/>
      <c r="AW483" s="73"/>
      <c r="AX483" s="73"/>
      <c r="AY483" s="73"/>
      <c r="AZ483" s="73"/>
      <c r="BA483" s="73"/>
      <c r="BB483" s="73"/>
      <c r="BC483" s="73"/>
      <c r="BD483" s="73"/>
      <c r="BE483" s="73"/>
      <c r="BF483" s="73"/>
    </row>
    <row r="484" spans="1:58" s="68" customFormat="1" ht="20.100000000000001" customHeight="1" x14ac:dyDescent="0.25">
      <c r="A484" s="133" t="s">
        <v>80</v>
      </c>
      <c r="B484" s="133"/>
      <c r="C484" s="133"/>
      <c r="D484" s="133"/>
      <c r="E484" s="133"/>
      <c r="F484" s="133"/>
      <c r="G484" s="133"/>
      <c r="H484" s="133"/>
      <c r="I484" s="133"/>
      <c r="J484" s="133"/>
      <c r="K484" s="133"/>
      <c r="L484" s="133"/>
      <c r="M484" s="133"/>
      <c r="N484" s="133"/>
      <c r="O484" s="133"/>
      <c r="P484" s="133"/>
      <c r="Q484" s="133"/>
      <c r="R484" s="133"/>
      <c r="S484" s="107"/>
      <c r="T484" s="107"/>
      <c r="U484" s="107"/>
      <c r="V484" s="86"/>
      <c r="W484" s="73"/>
      <c r="X484" s="73"/>
      <c r="Y484" s="73"/>
      <c r="Z484" s="73"/>
      <c r="AA484" s="73"/>
      <c r="AB484" s="73"/>
      <c r="AC484" s="73"/>
      <c r="AD484" s="73"/>
      <c r="AE484" s="73"/>
      <c r="AF484" s="73"/>
      <c r="AG484" s="73"/>
      <c r="AH484" s="73"/>
      <c r="AI484" s="73"/>
      <c r="AJ484" s="73"/>
      <c r="AK484" s="73"/>
      <c r="AL484" s="73"/>
      <c r="AM484" s="73"/>
      <c r="AN484" s="73"/>
      <c r="AO484" s="73"/>
      <c r="AP484" s="73"/>
      <c r="AQ484" s="73"/>
      <c r="AR484" s="73"/>
      <c r="AS484" s="73"/>
      <c r="AT484" s="73"/>
      <c r="AU484" s="73"/>
      <c r="AV484" s="73"/>
      <c r="AW484" s="73"/>
      <c r="AX484" s="73"/>
      <c r="AY484" s="73"/>
      <c r="AZ484" s="73"/>
      <c r="BA484" s="73"/>
      <c r="BB484" s="73"/>
      <c r="BC484" s="73"/>
      <c r="BD484" s="73"/>
      <c r="BE484" s="73"/>
      <c r="BF484" s="73"/>
    </row>
    <row r="485" spans="1:58" s="68" customFormat="1" ht="20.100000000000001" customHeight="1" x14ac:dyDescent="0.25">
      <c r="A485" s="133" t="s">
        <v>471</v>
      </c>
      <c r="B485" s="133"/>
      <c r="C485" s="133"/>
      <c r="D485" s="133"/>
      <c r="E485" s="133"/>
      <c r="F485" s="133"/>
      <c r="G485" s="133"/>
      <c r="H485" s="133"/>
      <c r="I485" s="133"/>
      <c r="J485" s="133"/>
      <c r="K485" s="133"/>
      <c r="L485" s="133"/>
      <c r="M485" s="133"/>
      <c r="N485" s="133"/>
      <c r="O485" s="133"/>
      <c r="P485" s="133"/>
      <c r="Q485" s="133"/>
      <c r="R485" s="133"/>
      <c r="S485" s="107"/>
      <c r="T485" s="107"/>
      <c r="U485" s="107"/>
      <c r="V485" s="86"/>
      <c r="W485" s="73"/>
      <c r="X485" s="73"/>
      <c r="Y485" s="73"/>
      <c r="Z485" s="73"/>
      <c r="AA485" s="73"/>
      <c r="AB485" s="73"/>
      <c r="AC485" s="73"/>
      <c r="AD485" s="73"/>
      <c r="AE485" s="73"/>
      <c r="AF485" s="73"/>
      <c r="AG485" s="73"/>
      <c r="AH485" s="73"/>
      <c r="AI485" s="73"/>
      <c r="AJ485" s="73"/>
      <c r="AK485" s="73"/>
      <c r="AL485" s="73"/>
      <c r="AM485" s="73"/>
      <c r="AN485" s="73"/>
      <c r="AO485" s="73"/>
      <c r="AP485" s="73"/>
      <c r="AQ485" s="73"/>
      <c r="AR485" s="73"/>
      <c r="AS485" s="73"/>
      <c r="AT485" s="73"/>
      <c r="AU485" s="73"/>
      <c r="AV485" s="73"/>
      <c r="AW485" s="73"/>
      <c r="AX485" s="73"/>
      <c r="AY485" s="73"/>
      <c r="AZ485" s="73"/>
      <c r="BA485" s="73"/>
      <c r="BB485" s="73"/>
      <c r="BC485" s="73"/>
      <c r="BD485" s="73"/>
      <c r="BE485" s="73"/>
      <c r="BF485" s="73"/>
    </row>
    <row r="486" spans="1:58" s="68" customFormat="1" ht="39.950000000000003" customHeight="1" x14ac:dyDescent="0.25">
      <c r="A486" s="133" t="s">
        <v>120</v>
      </c>
      <c r="B486" s="133"/>
      <c r="C486" s="133"/>
      <c r="D486" s="133"/>
      <c r="E486" s="133"/>
      <c r="F486" s="133"/>
      <c r="G486" s="133"/>
      <c r="H486" s="133"/>
      <c r="I486" s="133"/>
      <c r="J486" s="133"/>
      <c r="K486" s="133"/>
      <c r="L486" s="133"/>
      <c r="M486" s="133"/>
      <c r="N486" s="133"/>
      <c r="O486" s="133"/>
      <c r="P486" s="133"/>
      <c r="Q486" s="133"/>
      <c r="R486" s="133"/>
      <c r="S486" s="107"/>
      <c r="T486" s="107"/>
      <c r="U486" s="107"/>
      <c r="V486" s="86"/>
      <c r="W486" s="73"/>
      <c r="X486" s="73"/>
      <c r="Y486" s="73"/>
      <c r="Z486" s="73"/>
      <c r="AA486" s="73"/>
      <c r="AB486" s="73"/>
      <c r="AC486" s="73"/>
      <c r="AD486" s="73"/>
      <c r="AE486" s="73"/>
      <c r="AF486" s="73"/>
      <c r="AG486" s="73"/>
      <c r="AH486" s="73"/>
      <c r="AI486" s="73"/>
      <c r="AJ486" s="73"/>
      <c r="AK486" s="73"/>
      <c r="AL486" s="73"/>
      <c r="AM486" s="73"/>
      <c r="AN486" s="73"/>
      <c r="AO486" s="73"/>
      <c r="AP486" s="73"/>
      <c r="AQ486" s="73"/>
      <c r="AR486" s="73"/>
      <c r="AS486" s="73"/>
      <c r="AT486" s="73"/>
      <c r="AU486" s="73"/>
      <c r="AV486" s="73"/>
      <c r="AW486" s="73"/>
      <c r="AX486" s="73"/>
      <c r="AY486" s="73"/>
      <c r="AZ486" s="73"/>
      <c r="BA486" s="73"/>
      <c r="BB486" s="73"/>
      <c r="BC486" s="73"/>
      <c r="BD486" s="73"/>
      <c r="BE486" s="73"/>
      <c r="BF486" s="73"/>
    </row>
    <row r="487" spans="1:58" ht="20.100000000000001" customHeight="1" x14ac:dyDescent="0.25">
      <c r="A487" s="133" t="s">
        <v>266</v>
      </c>
      <c r="B487" s="133"/>
      <c r="C487" s="133"/>
      <c r="D487" s="133"/>
      <c r="E487" s="133"/>
      <c r="F487" s="133"/>
      <c r="G487" s="133"/>
      <c r="H487" s="133"/>
      <c r="I487" s="133"/>
      <c r="J487" s="133"/>
      <c r="K487" s="133"/>
      <c r="L487" s="133"/>
      <c r="M487" s="133"/>
      <c r="N487" s="133"/>
      <c r="O487" s="133"/>
      <c r="P487" s="133"/>
      <c r="Q487" s="133"/>
      <c r="R487" s="133"/>
    </row>
    <row r="488" spans="1:58" ht="20.100000000000001" customHeight="1" x14ac:dyDescent="0.25">
      <c r="A488" s="133" t="s">
        <v>267</v>
      </c>
      <c r="B488" s="133"/>
      <c r="C488" s="133"/>
      <c r="D488" s="133"/>
      <c r="E488" s="133"/>
      <c r="F488" s="133"/>
      <c r="G488" s="133"/>
      <c r="H488" s="133"/>
      <c r="I488" s="133"/>
      <c r="J488" s="133"/>
      <c r="K488" s="133"/>
      <c r="L488" s="133"/>
      <c r="M488" s="133"/>
      <c r="N488" s="133"/>
      <c r="O488" s="133"/>
      <c r="P488" s="133"/>
      <c r="Q488" s="133"/>
      <c r="R488" s="133"/>
    </row>
    <row r="489" spans="1:58" ht="20.100000000000001" customHeight="1" x14ac:dyDescent="0.25">
      <c r="A489" s="133" t="s">
        <v>268</v>
      </c>
      <c r="B489" s="133"/>
      <c r="C489" s="133"/>
      <c r="D489" s="133"/>
      <c r="E489" s="133"/>
      <c r="F489" s="133"/>
      <c r="G489" s="133"/>
      <c r="H489" s="133"/>
      <c r="I489" s="133"/>
      <c r="J489" s="133"/>
      <c r="K489" s="133"/>
      <c r="L489" s="133"/>
      <c r="M489" s="133"/>
      <c r="N489" s="133"/>
      <c r="O489" s="133"/>
      <c r="P489" s="133"/>
      <c r="Q489" s="133"/>
      <c r="R489" s="133"/>
    </row>
    <row r="490" spans="1:58" ht="20.100000000000001" customHeight="1" x14ac:dyDescent="0.25">
      <c r="A490" s="133" t="s">
        <v>269</v>
      </c>
      <c r="B490" s="133"/>
      <c r="C490" s="133"/>
      <c r="D490" s="133"/>
      <c r="E490" s="133"/>
      <c r="F490" s="133"/>
      <c r="G490" s="133"/>
      <c r="H490" s="133"/>
      <c r="I490" s="133"/>
      <c r="J490" s="133"/>
      <c r="K490" s="133"/>
      <c r="L490" s="133"/>
      <c r="M490" s="133"/>
      <c r="N490" s="133"/>
      <c r="O490" s="133"/>
      <c r="P490" s="133"/>
      <c r="Q490" s="133"/>
      <c r="R490" s="133"/>
    </row>
    <row r="491" spans="1:58" ht="20.100000000000001" customHeight="1" x14ac:dyDescent="0.25">
      <c r="A491" s="133"/>
      <c r="B491" s="133"/>
      <c r="C491" s="133"/>
      <c r="D491" s="133"/>
      <c r="E491" s="133"/>
      <c r="F491" s="133"/>
      <c r="G491" s="133"/>
      <c r="H491" s="133"/>
      <c r="I491" s="133"/>
      <c r="J491" s="133"/>
      <c r="K491" s="133"/>
      <c r="L491" s="133"/>
      <c r="M491" s="133"/>
      <c r="N491" s="133"/>
      <c r="O491" s="133"/>
      <c r="P491" s="133"/>
      <c r="Q491" s="133"/>
      <c r="R491" s="133"/>
    </row>
    <row r="492" spans="1:58" ht="20.100000000000001" customHeight="1" x14ac:dyDescent="0.25">
      <c r="A492" s="133" t="s">
        <v>270</v>
      </c>
      <c r="B492" s="133"/>
      <c r="C492" s="133"/>
      <c r="D492" s="133"/>
      <c r="E492" s="133"/>
      <c r="F492" s="133"/>
      <c r="G492" s="133"/>
      <c r="H492" s="133"/>
      <c r="I492" s="133"/>
      <c r="J492" s="133"/>
      <c r="K492" s="133"/>
      <c r="L492" s="133"/>
      <c r="M492" s="133"/>
      <c r="N492" s="133"/>
      <c r="O492" s="133"/>
      <c r="P492" s="133"/>
      <c r="Q492" s="133"/>
      <c r="R492" s="133"/>
    </row>
    <row r="493" spans="1:58" ht="20.100000000000001" customHeight="1" x14ac:dyDescent="0.25">
      <c r="A493" s="133" t="s">
        <v>121</v>
      </c>
      <c r="B493" s="133"/>
      <c r="C493" s="133"/>
      <c r="D493" s="133"/>
      <c r="E493" s="133"/>
      <c r="F493" s="133"/>
      <c r="G493" s="133"/>
      <c r="H493" s="133"/>
      <c r="I493" s="133"/>
      <c r="J493" s="133"/>
      <c r="K493" s="133"/>
      <c r="L493" s="133"/>
      <c r="M493" s="133"/>
      <c r="N493" s="133"/>
      <c r="O493" s="133"/>
      <c r="P493" s="133"/>
      <c r="Q493" s="133"/>
      <c r="R493" s="133"/>
    </row>
    <row r="494" spans="1:58" ht="20.100000000000001" customHeight="1" x14ac:dyDescent="0.25">
      <c r="A494" s="133" t="s">
        <v>271</v>
      </c>
      <c r="B494" s="133"/>
      <c r="C494" s="133"/>
      <c r="D494" s="133"/>
      <c r="E494" s="133"/>
      <c r="F494" s="133"/>
      <c r="G494" s="133"/>
      <c r="H494" s="133"/>
      <c r="I494" s="133"/>
      <c r="J494" s="133"/>
      <c r="K494" s="133"/>
      <c r="L494" s="133"/>
      <c r="M494" s="133"/>
      <c r="N494" s="133"/>
      <c r="O494" s="133"/>
      <c r="P494" s="133"/>
      <c r="Q494" s="133"/>
      <c r="R494" s="133"/>
    </row>
    <row r="495" spans="1:58" ht="20.100000000000001" customHeight="1" x14ac:dyDescent="0.25">
      <c r="A495" s="133"/>
      <c r="B495" s="133"/>
      <c r="C495" s="133"/>
      <c r="D495" s="133"/>
      <c r="E495" s="133"/>
      <c r="F495" s="133"/>
      <c r="G495" s="133"/>
      <c r="H495" s="133"/>
      <c r="I495" s="133"/>
      <c r="J495" s="133"/>
      <c r="K495" s="133"/>
      <c r="L495" s="133"/>
      <c r="M495" s="133"/>
      <c r="N495" s="133"/>
      <c r="O495" s="133"/>
      <c r="P495" s="133"/>
      <c r="Q495" s="133"/>
      <c r="R495" s="133"/>
    </row>
    <row r="496" spans="1:58" ht="20.100000000000001" customHeight="1" x14ac:dyDescent="0.25">
      <c r="A496" s="133" t="s">
        <v>272</v>
      </c>
      <c r="B496" s="133"/>
      <c r="C496" s="133"/>
      <c r="D496" s="133"/>
      <c r="E496" s="133"/>
      <c r="F496" s="133"/>
      <c r="G496" s="133"/>
      <c r="H496" s="133"/>
      <c r="I496" s="133"/>
      <c r="J496" s="133"/>
      <c r="K496" s="133"/>
      <c r="L496" s="133"/>
      <c r="M496" s="133"/>
      <c r="N496" s="133"/>
      <c r="O496" s="133"/>
      <c r="P496" s="133"/>
      <c r="Q496" s="133"/>
      <c r="R496" s="133"/>
    </row>
    <row r="497" spans="1:18" ht="20.100000000000001" customHeight="1" x14ac:dyDescent="0.25">
      <c r="A497" s="133"/>
      <c r="B497" s="133"/>
      <c r="C497" s="133"/>
      <c r="D497" s="133"/>
      <c r="E497" s="133"/>
      <c r="F497" s="133"/>
      <c r="G497" s="133"/>
      <c r="H497" s="133"/>
      <c r="I497" s="133"/>
      <c r="J497" s="133"/>
      <c r="K497" s="133"/>
      <c r="L497" s="133"/>
      <c r="M497" s="133"/>
      <c r="N497" s="133"/>
      <c r="O497" s="133"/>
      <c r="P497" s="133"/>
      <c r="Q497" s="133"/>
      <c r="R497" s="133"/>
    </row>
    <row r="498" spans="1:18" ht="20.100000000000001" customHeight="1" x14ac:dyDescent="0.25">
      <c r="A498" s="133" t="s">
        <v>472</v>
      </c>
      <c r="B498" s="133"/>
      <c r="C498" s="133"/>
      <c r="D498" s="133"/>
      <c r="E498" s="133"/>
      <c r="F498" s="133"/>
      <c r="G498" s="133"/>
      <c r="H498" s="133"/>
      <c r="I498" s="133"/>
      <c r="J498" s="133"/>
      <c r="K498" s="133"/>
      <c r="L498" s="133"/>
      <c r="M498" s="133"/>
      <c r="N498" s="133"/>
      <c r="O498" s="133"/>
      <c r="P498" s="133"/>
      <c r="Q498" s="133"/>
      <c r="R498" s="133"/>
    </row>
    <row r="499" spans="1:18" ht="20.100000000000001" customHeight="1" x14ac:dyDescent="0.25">
      <c r="A499" s="133"/>
      <c r="B499" s="133"/>
      <c r="C499" s="133"/>
      <c r="D499" s="133"/>
      <c r="E499" s="133"/>
      <c r="F499" s="133"/>
      <c r="G499" s="133"/>
      <c r="H499" s="133"/>
      <c r="I499" s="133"/>
      <c r="J499" s="133"/>
      <c r="K499" s="133"/>
      <c r="L499" s="133"/>
      <c r="M499" s="133"/>
      <c r="N499" s="133"/>
      <c r="O499" s="133"/>
      <c r="P499" s="133"/>
      <c r="Q499" s="133"/>
      <c r="R499" s="133"/>
    </row>
    <row r="500" spans="1:18" ht="20.100000000000001" customHeight="1" x14ac:dyDescent="0.25">
      <c r="A500" s="133" t="s">
        <v>273</v>
      </c>
      <c r="B500" s="133"/>
      <c r="C500" s="133"/>
      <c r="D500" s="133"/>
      <c r="E500" s="133"/>
      <c r="F500" s="133"/>
      <c r="G500" s="133"/>
      <c r="H500" s="133"/>
      <c r="I500" s="133"/>
      <c r="J500" s="133"/>
      <c r="K500" s="133"/>
      <c r="L500" s="133"/>
      <c r="M500" s="133"/>
      <c r="N500" s="133"/>
      <c r="O500" s="133"/>
      <c r="P500" s="133"/>
      <c r="Q500" s="133"/>
      <c r="R500" s="133"/>
    </row>
    <row r="501" spans="1:18" ht="20.100000000000001" customHeight="1" x14ac:dyDescent="0.25">
      <c r="A501" s="133"/>
      <c r="B501" s="133"/>
      <c r="C501" s="133"/>
      <c r="D501" s="133"/>
      <c r="E501" s="133"/>
      <c r="F501" s="133"/>
      <c r="G501" s="133"/>
      <c r="H501" s="133"/>
      <c r="I501" s="133"/>
      <c r="J501" s="133"/>
      <c r="K501" s="133"/>
      <c r="L501" s="133"/>
      <c r="M501" s="133"/>
      <c r="N501" s="133"/>
      <c r="O501" s="133"/>
      <c r="P501" s="133"/>
      <c r="Q501" s="133"/>
      <c r="R501" s="133"/>
    </row>
    <row r="502" spans="1:18" ht="20.100000000000001" customHeight="1" x14ac:dyDescent="0.25">
      <c r="A502" s="133" t="s">
        <v>473</v>
      </c>
      <c r="B502" s="133"/>
      <c r="C502" s="133"/>
      <c r="D502" s="133"/>
      <c r="E502" s="133"/>
      <c r="F502" s="133"/>
      <c r="G502" s="133"/>
      <c r="H502" s="133"/>
      <c r="I502" s="133"/>
      <c r="J502" s="133"/>
      <c r="K502" s="133"/>
      <c r="L502" s="133"/>
      <c r="M502" s="133"/>
      <c r="N502" s="133"/>
      <c r="O502" s="133"/>
      <c r="P502" s="133"/>
      <c r="Q502" s="133"/>
      <c r="R502" s="133"/>
    </row>
    <row r="503" spans="1:18" ht="20.100000000000001" customHeight="1" x14ac:dyDescent="0.25">
      <c r="A503" s="133"/>
      <c r="B503" s="133"/>
      <c r="C503" s="133"/>
      <c r="D503" s="133"/>
      <c r="E503" s="133"/>
      <c r="F503" s="133"/>
      <c r="G503" s="133"/>
      <c r="H503" s="133"/>
      <c r="I503" s="133"/>
      <c r="J503" s="133"/>
      <c r="K503" s="133"/>
      <c r="L503" s="133"/>
      <c r="M503" s="133"/>
      <c r="N503" s="133"/>
      <c r="O503" s="133"/>
      <c r="P503" s="133"/>
      <c r="Q503" s="133"/>
      <c r="R503" s="133"/>
    </row>
    <row r="504" spans="1:18" ht="39.950000000000003" customHeight="1" x14ac:dyDescent="0.25">
      <c r="A504" s="133" t="s">
        <v>274</v>
      </c>
      <c r="B504" s="133"/>
      <c r="C504" s="133"/>
      <c r="D504" s="133"/>
      <c r="E504" s="133"/>
      <c r="F504" s="133"/>
      <c r="G504" s="133"/>
      <c r="H504" s="133"/>
      <c r="I504" s="133"/>
      <c r="J504" s="133"/>
      <c r="K504" s="133"/>
      <c r="L504" s="133"/>
      <c r="M504" s="133"/>
      <c r="N504" s="133"/>
      <c r="O504" s="133"/>
      <c r="P504" s="133"/>
      <c r="Q504" s="133"/>
      <c r="R504" s="133"/>
    </row>
    <row r="505" spans="1:18" ht="20.100000000000001" customHeight="1" x14ac:dyDescent="0.25">
      <c r="A505" s="133" t="s">
        <v>275</v>
      </c>
      <c r="B505" s="133"/>
      <c r="C505" s="133"/>
      <c r="D505" s="133"/>
      <c r="E505" s="133"/>
      <c r="F505" s="133"/>
      <c r="G505" s="133"/>
      <c r="H505" s="133"/>
      <c r="I505" s="133"/>
      <c r="J505" s="133"/>
      <c r="K505" s="133"/>
      <c r="L505" s="133"/>
      <c r="M505" s="133"/>
      <c r="N505" s="133"/>
      <c r="O505" s="133"/>
      <c r="P505" s="133"/>
      <c r="Q505" s="133"/>
      <c r="R505" s="133"/>
    </row>
    <row r="506" spans="1:18" ht="20.100000000000001" customHeight="1" x14ac:dyDescent="0.25">
      <c r="A506" s="133" t="s">
        <v>276</v>
      </c>
      <c r="B506" s="133"/>
      <c r="C506" s="133"/>
      <c r="D506" s="133"/>
      <c r="E506" s="133"/>
      <c r="F506" s="133"/>
      <c r="G506" s="133"/>
      <c r="H506" s="133"/>
      <c r="I506" s="133"/>
      <c r="J506" s="133"/>
      <c r="K506" s="133"/>
      <c r="L506" s="133"/>
      <c r="M506" s="133"/>
      <c r="N506" s="133"/>
      <c r="O506" s="133"/>
      <c r="P506" s="133"/>
      <c r="Q506" s="133"/>
      <c r="R506" s="133"/>
    </row>
    <row r="507" spans="1:18" ht="39.950000000000003" customHeight="1" x14ac:dyDescent="0.25">
      <c r="A507" s="133" t="s">
        <v>277</v>
      </c>
      <c r="B507" s="133"/>
      <c r="C507" s="133"/>
      <c r="D507" s="133"/>
      <c r="E507" s="133"/>
      <c r="F507" s="133"/>
      <c r="G507" s="133"/>
      <c r="H507" s="133"/>
      <c r="I507" s="133"/>
      <c r="J507" s="133"/>
      <c r="K507" s="133"/>
      <c r="L507" s="133"/>
      <c r="M507" s="133"/>
      <c r="N507" s="133"/>
      <c r="O507" s="133"/>
      <c r="P507" s="133"/>
      <c r="Q507" s="133"/>
      <c r="R507" s="133"/>
    </row>
    <row r="508" spans="1:18" ht="20.100000000000001" customHeight="1" x14ac:dyDescent="0.25">
      <c r="A508" s="133" t="s">
        <v>474</v>
      </c>
      <c r="B508" s="133"/>
      <c r="C508" s="133"/>
      <c r="D508" s="133"/>
      <c r="E508" s="133"/>
      <c r="F508" s="133"/>
      <c r="G508" s="133"/>
      <c r="H508" s="133"/>
      <c r="I508" s="133"/>
      <c r="J508" s="133"/>
      <c r="K508" s="133"/>
      <c r="L508" s="133"/>
      <c r="M508" s="133"/>
      <c r="N508" s="133"/>
      <c r="O508" s="133"/>
      <c r="P508" s="133"/>
      <c r="Q508" s="133"/>
      <c r="R508" s="133"/>
    </row>
  </sheetData>
  <sheetProtection formatCells="0"/>
  <mergeCells count="632">
    <mergeCell ref="L66:O66"/>
    <mergeCell ref="B58:D58"/>
    <mergeCell ref="B59:D59"/>
    <mergeCell ref="B60:D60"/>
    <mergeCell ref="B61:D61"/>
    <mergeCell ref="B62:D62"/>
    <mergeCell ref="B63:D63"/>
    <mergeCell ref="J57:K57"/>
    <mergeCell ref="L57:M57"/>
    <mergeCell ref="N57:O57"/>
    <mergeCell ref="J58:K58"/>
    <mergeCell ref="L58:M58"/>
    <mergeCell ref="N58:O58"/>
    <mergeCell ref="J61:K61"/>
    <mergeCell ref="L61:M61"/>
    <mergeCell ref="J64:K64"/>
    <mergeCell ref="L64:M64"/>
    <mergeCell ref="B57:D57"/>
    <mergeCell ref="A142:R142"/>
    <mergeCell ref="B168:D168"/>
    <mergeCell ref="P168:R168"/>
    <mergeCell ref="P167:R167"/>
    <mergeCell ref="A148:H148"/>
    <mergeCell ref="A149:H149"/>
    <mergeCell ref="A150:H150"/>
    <mergeCell ref="S304:U304"/>
    <mergeCell ref="S267:U267"/>
    <mergeCell ref="B170:D170"/>
    <mergeCell ref="B171:D171"/>
    <mergeCell ref="M144:O144"/>
    <mergeCell ref="M145:O145"/>
    <mergeCell ref="M146:O146"/>
    <mergeCell ref="M148:O148"/>
    <mergeCell ref="J151:L151"/>
    <mergeCell ref="P165:R165"/>
    <mergeCell ref="P166:R166"/>
    <mergeCell ref="P169:R169"/>
    <mergeCell ref="B165:D165"/>
    <mergeCell ref="B166:D166"/>
    <mergeCell ref="P155:R155"/>
    <mergeCell ref="P144:R144"/>
    <mergeCell ref="P145:R145"/>
    <mergeCell ref="P146:R146"/>
    <mergeCell ref="P147:R147"/>
    <mergeCell ref="P148:R148"/>
    <mergeCell ref="P149:R149"/>
    <mergeCell ref="P150:R150"/>
    <mergeCell ref="M150:O150"/>
    <mergeCell ref="M151:O151"/>
    <mergeCell ref="M153:O153"/>
    <mergeCell ref="A151:H151"/>
    <mergeCell ref="M147:O147"/>
    <mergeCell ref="A154:O155"/>
    <mergeCell ref="B167:D167"/>
    <mergeCell ref="A161:R163"/>
    <mergeCell ref="B201:D201"/>
    <mergeCell ref="B202:D202"/>
    <mergeCell ref="P151:R151"/>
    <mergeCell ref="N64:O64"/>
    <mergeCell ref="P64:R64"/>
    <mergeCell ref="A71:R71"/>
    <mergeCell ref="A105:R105"/>
    <mergeCell ref="A123:R123"/>
    <mergeCell ref="B169:D169"/>
    <mergeCell ref="B177:D177"/>
    <mergeCell ref="P157:R158"/>
    <mergeCell ref="E157:O157"/>
    <mergeCell ref="A157:D159"/>
    <mergeCell ref="A146:H146"/>
    <mergeCell ref="A147:H147"/>
    <mergeCell ref="B198:D198"/>
    <mergeCell ref="B199:D199"/>
    <mergeCell ref="E198:G198"/>
    <mergeCell ref="E199:G199"/>
    <mergeCell ref="J153:L153"/>
    <mergeCell ref="J150:L150"/>
    <mergeCell ref="P68:R68"/>
    <mergeCell ref="L320:O320"/>
    <mergeCell ref="O344:R344"/>
    <mergeCell ref="L276:O276"/>
    <mergeCell ref="P276:R276"/>
    <mergeCell ref="L304:P304"/>
    <mergeCell ref="A361:D361"/>
    <mergeCell ref="E361:H361"/>
    <mergeCell ref="A363:R363"/>
    <mergeCell ref="A358:D358"/>
    <mergeCell ref="E356:H356"/>
    <mergeCell ref="E357:H357"/>
    <mergeCell ref="E358:H358"/>
    <mergeCell ref="A341:F341"/>
    <mergeCell ref="A352:R352"/>
    <mergeCell ref="A356:D356"/>
    <mergeCell ref="A357:D357"/>
    <mergeCell ref="A343:F343"/>
    <mergeCell ref="N317:O317"/>
    <mergeCell ref="B308:F308"/>
    <mergeCell ref="L312:O312"/>
    <mergeCell ref="L282:O282"/>
    <mergeCell ref="P282:R282"/>
    <mergeCell ref="A302:R302"/>
    <mergeCell ref="B304:F304"/>
    <mergeCell ref="B64:D64"/>
    <mergeCell ref="E366:H366"/>
    <mergeCell ref="A360:D360"/>
    <mergeCell ref="E360:H360"/>
    <mergeCell ref="L309:O309"/>
    <mergeCell ref="B306:F306"/>
    <mergeCell ref="L306:P306"/>
    <mergeCell ref="Q306:R306"/>
    <mergeCell ref="K342:N342"/>
    <mergeCell ref="K341:N341"/>
    <mergeCell ref="K344:N344"/>
    <mergeCell ref="G344:J344"/>
    <mergeCell ref="G342:J342"/>
    <mergeCell ref="G341:J341"/>
    <mergeCell ref="A349:F349"/>
    <mergeCell ref="G349:L349"/>
    <mergeCell ref="O343:R343"/>
    <mergeCell ref="P314:R314"/>
    <mergeCell ref="B316:F316"/>
    <mergeCell ref="G347:L347"/>
    <mergeCell ref="G348:L348"/>
    <mergeCell ref="A346:F346"/>
    <mergeCell ref="G343:J343"/>
    <mergeCell ref="K343:N343"/>
    <mergeCell ref="T17:U17"/>
    <mergeCell ref="N19:O19"/>
    <mergeCell ref="B20:D20"/>
    <mergeCell ref="E20:G20"/>
    <mergeCell ref="H20:J20"/>
    <mergeCell ref="K20:M20"/>
    <mergeCell ref="N20:O20"/>
    <mergeCell ref="P20:R20"/>
    <mergeCell ref="B21:D21"/>
    <mergeCell ref="E21:G21"/>
    <mergeCell ref="H21:J21"/>
    <mergeCell ref="K21:M21"/>
    <mergeCell ref="N21:O21"/>
    <mergeCell ref="P21:R21"/>
    <mergeCell ref="P18:R18"/>
    <mergeCell ref="P19:R19"/>
    <mergeCell ref="B17:D17"/>
    <mergeCell ref="E17:G17"/>
    <mergeCell ref="K17:M17"/>
    <mergeCell ref="K18:M18"/>
    <mergeCell ref="K19:M19"/>
    <mergeCell ref="N17:O17"/>
    <mergeCell ref="N18:O18"/>
    <mergeCell ref="E24:G24"/>
    <mergeCell ref="H24:J24"/>
    <mergeCell ref="H25:J25"/>
    <mergeCell ref="H26:J26"/>
    <mergeCell ref="H27:J27"/>
    <mergeCell ref="H28:J28"/>
    <mergeCell ref="K22:M22"/>
    <mergeCell ref="K26:M26"/>
    <mergeCell ref="N22:O22"/>
    <mergeCell ref="N28:O28"/>
    <mergeCell ref="H22:J22"/>
    <mergeCell ref="K24:M24"/>
    <mergeCell ref="N24:O24"/>
    <mergeCell ref="A7:R7"/>
    <mergeCell ref="A15:R15"/>
    <mergeCell ref="H17:J17"/>
    <mergeCell ref="E18:G18"/>
    <mergeCell ref="H18:J18"/>
    <mergeCell ref="E19:G19"/>
    <mergeCell ref="H19:J19"/>
    <mergeCell ref="E29:G29"/>
    <mergeCell ref="H29:J29"/>
    <mergeCell ref="B18:D18"/>
    <mergeCell ref="B19:D19"/>
    <mergeCell ref="B29:D29"/>
    <mergeCell ref="P17:R17"/>
    <mergeCell ref="P12:R12"/>
    <mergeCell ref="M12:O12"/>
    <mergeCell ref="J12:L12"/>
    <mergeCell ref="H23:J23"/>
    <mergeCell ref="A10:B10"/>
    <mergeCell ref="C10:I10"/>
    <mergeCell ref="B22:D22"/>
    <mergeCell ref="E22:G22"/>
    <mergeCell ref="B23:D23"/>
    <mergeCell ref="E23:G23"/>
    <mergeCell ref="B24:D24"/>
    <mergeCell ref="N198:R198"/>
    <mergeCell ref="N199:R199"/>
    <mergeCell ref="K196:M196"/>
    <mergeCell ref="P177:R177"/>
    <mergeCell ref="H196:J196"/>
    <mergeCell ref="J45:N45"/>
    <mergeCell ref="A41:G41"/>
    <mergeCell ref="A42:G42"/>
    <mergeCell ref="B54:D54"/>
    <mergeCell ref="J54:K54"/>
    <mergeCell ref="L54:M54"/>
    <mergeCell ref="N54:O54"/>
    <mergeCell ref="A145:H145"/>
    <mergeCell ref="P66:R66"/>
    <mergeCell ref="L67:O67"/>
    <mergeCell ref="P67:R67"/>
    <mergeCell ref="L68:O68"/>
    <mergeCell ref="P52:R52"/>
    <mergeCell ref="B53:D53"/>
    <mergeCell ref="N53:O53"/>
    <mergeCell ref="P53:R53"/>
    <mergeCell ref="J53:K53"/>
    <mergeCell ref="N61:O61"/>
    <mergeCell ref="B56:D56"/>
    <mergeCell ref="H200:J200"/>
    <mergeCell ref="E200:G200"/>
    <mergeCell ref="K200:M200"/>
    <mergeCell ref="B196:D196"/>
    <mergeCell ref="B197:D197"/>
    <mergeCell ref="B172:D172"/>
    <mergeCell ref="B173:D173"/>
    <mergeCell ref="B174:D174"/>
    <mergeCell ref="B205:D205"/>
    <mergeCell ref="B203:D203"/>
    <mergeCell ref="B204:D204"/>
    <mergeCell ref="B200:D200"/>
    <mergeCell ref="H198:J198"/>
    <mergeCell ref="H199:J199"/>
    <mergeCell ref="K198:M198"/>
    <mergeCell ref="K199:M199"/>
    <mergeCell ref="B176:D176"/>
    <mergeCell ref="B175:D175"/>
    <mergeCell ref="K202:M202"/>
    <mergeCell ref="N196:R196"/>
    <mergeCell ref="N197:R197"/>
    <mergeCell ref="A5:R5"/>
    <mergeCell ref="Q233:R233"/>
    <mergeCell ref="P271:R271"/>
    <mergeCell ref="Q268:R268"/>
    <mergeCell ref="P237:R237"/>
    <mergeCell ref="P235:R235"/>
    <mergeCell ref="L239:O239"/>
    <mergeCell ref="B268:F268"/>
    <mergeCell ref="B271:F271"/>
    <mergeCell ref="B267:F267"/>
    <mergeCell ref="P238:R238"/>
    <mergeCell ref="P239:R239"/>
    <mergeCell ref="P244:R244"/>
    <mergeCell ref="P245:R245"/>
    <mergeCell ref="L240:O240"/>
    <mergeCell ref="L242:O242"/>
    <mergeCell ref="P242:R242"/>
    <mergeCell ref="L244:O244"/>
    <mergeCell ref="L245:O245"/>
    <mergeCell ref="N200:R200"/>
    <mergeCell ref="N208:R208"/>
    <mergeCell ref="K197:M197"/>
    <mergeCell ref="P159:R159"/>
    <mergeCell ref="B243:F243"/>
    <mergeCell ref="B244:F244"/>
    <mergeCell ref="B272:F272"/>
    <mergeCell ref="B273:F273"/>
    <mergeCell ref="B274:F274"/>
    <mergeCell ref="B206:D206"/>
    <mergeCell ref="B207:D207"/>
    <mergeCell ref="P170:R170"/>
    <mergeCell ref="P171:R171"/>
    <mergeCell ref="P172:R172"/>
    <mergeCell ref="P173:R173"/>
    <mergeCell ref="P174:R174"/>
    <mergeCell ref="P175:R175"/>
    <mergeCell ref="P176:R176"/>
    <mergeCell ref="E201:G201"/>
    <mergeCell ref="H201:J201"/>
    <mergeCell ref="K201:M201"/>
    <mergeCell ref="N201:R201"/>
    <mergeCell ref="E202:G202"/>
    <mergeCell ref="H202:J202"/>
    <mergeCell ref="E196:G196"/>
    <mergeCell ref="H197:J197"/>
    <mergeCell ref="E197:G197"/>
    <mergeCell ref="B239:F239"/>
    <mergeCell ref="B240:F240"/>
    <mergeCell ref="B241:F241"/>
    <mergeCell ref="B242:F242"/>
    <mergeCell ref="A265:R265"/>
    <mergeCell ref="L267:P267"/>
    <mergeCell ref="L270:O270"/>
    <mergeCell ref="P270:R270"/>
    <mergeCell ref="B208:D208"/>
    <mergeCell ref="Q267:R267"/>
    <mergeCell ref="B235:F235"/>
    <mergeCell ref="L241:M241"/>
    <mergeCell ref="N241:O241"/>
    <mergeCell ref="B238:F238"/>
    <mergeCell ref="L210:O210"/>
    <mergeCell ref="P210:R210"/>
    <mergeCell ref="L211:O211"/>
    <mergeCell ref="P211:R211"/>
    <mergeCell ref="L212:O212"/>
    <mergeCell ref="P212:R212"/>
    <mergeCell ref="L268:P268"/>
    <mergeCell ref="P240:R240"/>
    <mergeCell ref="B234:F234"/>
    <mergeCell ref="B233:F233"/>
    <mergeCell ref="P281:R281"/>
    <mergeCell ref="L275:O275"/>
    <mergeCell ref="P275:R275"/>
    <mergeCell ref="P241:R241"/>
    <mergeCell ref="B245:F245"/>
    <mergeCell ref="L273:O273"/>
    <mergeCell ref="P273:R273"/>
    <mergeCell ref="L274:O274"/>
    <mergeCell ref="P274:R274"/>
    <mergeCell ref="L279:O279"/>
    <mergeCell ref="P279:R279"/>
    <mergeCell ref="L281:O281"/>
    <mergeCell ref="L278:M278"/>
    <mergeCell ref="B275:F275"/>
    <mergeCell ref="B276:F276"/>
    <mergeCell ref="B277:F277"/>
    <mergeCell ref="B279:F279"/>
    <mergeCell ref="A378:F379"/>
    <mergeCell ref="W374:BN374"/>
    <mergeCell ref="W375:BN375"/>
    <mergeCell ref="W376:BN376"/>
    <mergeCell ref="W377:BN377"/>
    <mergeCell ref="A376:F377"/>
    <mergeCell ref="G376:R376"/>
    <mergeCell ref="S358:U358"/>
    <mergeCell ref="A354:R354"/>
    <mergeCell ref="A369:R370"/>
    <mergeCell ref="A362:D362"/>
    <mergeCell ref="E362:H362"/>
    <mergeCell ref="A359:D359"/>
    <mergeCell ref="E359:H359"/>
    <mergeCell ref="K367:N367"/>
    <mergeCell ref="O367:R367"/>
    <mergeCell ref="O378:R379"/>
    <mergeCell ref="A366:D366"/>
    <mergeCell ref="A365:D365"/>
    <mergeCell ref="E365:H365"/>
    <mergeCell ref="K365:N365"/>
    <mergeCell ref="O365:R365"/>
    <mergeCell ref="K366:N366"/>
    <mergeCell ref="O366:R366"/>
    <mergeCell ref="P320:R320"/>
    <mergeCell ref="A348:F348"/>
    <mergeCell ref="A342:F342"/>
    <mergeCell ref="J10:R10"/>
    <mergeCell ref="A9:R9"/>
    <mergeCell ref="A11:B12"/>
    <mergeCell ref="J11:L11"/>
    <mergeCell ref="M11:O11"/>
    <mergeCell ref="P11:R11"/>
    <mergeCell ref="C11:I12"/>
    <mergeCell ref="A153:I153"/>
    <mergeCell ref="J144:L144"/>
    <mergeCell ref="J145:L145"/>
    <mergeCell ref="J146:L146"/>
    <mergeCell ref="J147:L147"/>
    <mergeCell ref="J148:L148"/>
    <mergeCell ref="J149:L149"/>
    <mergeCell ref="A38:R38"/>
    <mergeCell ref="A40:G40"/>
    <mergeCell ref="L31:O31"/>
    <mergeCell ref="A144:H144"/>
    <mergeCell ref="M149:O149"/>
    <mergeCell ref="B278:F278"/>
    <mergeCell ref="L314:O314"/>
    <mergeCell ref="P22:R22"/>
    <mergeCell ref="K23:M23"/>
    <mergeCell ref="N23:O23"/>
    <mergeCell ref="P23:R23"/>
    <mergeCell ref="A437:K437"/>
    <mergeCell ref="L437:R437"/>
    <mergeCell ref="A427:E427"/>
    <mergeCell ref="F427:L427"/>
    <mergeCell ref="A431:H431"/>
    <mergeCell ref="I431:L431"/>
    <mergeCell ref="A428:E428"/>
    <mergeCell ref="F428:L428"/>
    <mergeCell ref="A429:E429"/>
    <mergeCell ref="F429:L429"/>
    <mergeCell ref="A433:H433"/>
    <mergeCell ref="I433:L433"/>
    <mergeCell ref="A405:D405"/>
    <mergeCell ref="E405:H405"/>
    <mergeCell ref="A403:R403"/>
    <mergeCell ref="A406:D406"/>
    <mergeCell ref="E406:H406"/>
    <mergeCell ref="A407:D407"/>
    <mergeCell ref="E407:H407"/>
    <mergeCell ref="A409:R409"/>
    <mergeCell ref="A422:R422"/>
    <mergeCell ref="A399:K399"/>
    <mergeCell ref="L399:R399"/>
    <mergeCell ref="A385:L385"/>
    <mergeCell ref="M385:R385"/>
    <mergeCell ref="A386:L386"/>
    <mergeCell ref="M386:R386"/>
    <mergeCell ref="A36:R36"/>
    <mergeCell ref="A43:G43"/>
    <mergeCell ref="A44:G44"/>
    <mergeCell ref="A45:G45"/>
    <mergeCell ref="E48:I48"/>
    <mergeCell ref="J50:K50"/>
    <mergeCell ref="A48:D49"/>
    <mergeCell ref="J48:K49"/>
    <mergeCell ref="J52:K52"/>
    <mergeCell ref="O41:R41"/>
    <mergeCell ref="J42:N42"/>
    <mergeCell ref="O42:R42"/>
    <mergeCell ref="J43:N43"/>
    <mergeCell ref="O43:R43"/>
    <mergeCell ref="J44:N44"/>
    <mergeCell ref="O44:R44"/>
    <mergeCell ref="L313:O313"/>
    <mergeCell ref="P313:R313"/>
    <mergeCell ref="O342:R342"/>
    <mergeCell ref="A347:F347"/>
    <mergeCell ref="A372:R373"/>
    <mergeCell ref="A374:R375"/>
    <mergeCell ref="G377:J377"/>
    <mergeCell ref="K377:N377"/>
    <mergeCell ref="O377:R377"/>
    <mergeCell ref="A397:C397"/>
    <mergeCell ref="D397:I397"/>
    <mergeCell ref="J397:M397"/>
    <mergeCell ref="O397:R397"/>
    <mergeCell ref="A389:R389"/>
    <mergeCell ref="A391:R394"/>
    <mergeCell ref="A396:C396"/>
    <mergeCell ref="D396:I396"/>
    <mergeCell ref="J396:M396"/>
    <mergeCell ref="O396:R396"/>
    <mergeCell ref="A344:F344"/>
    <mergeCell ref="G346:L346"/>
    <mergeCell ref="A384:L384"/>
    <mergeCell ref="M384:R384"/>
    <mergeCell ref="G378:J379"/>
    <mergeCell ref="K378:N379"/>
    <mergeCell ref="A436:K436"/>
    <mergeCell ref="L436:R436"/>
    <mergeCell ref="A439:K439"/>
    <mergeCell ref="L439:R439"/>
    <mergeCell ref="A443:R443"/>
    <mergeCell ref="A382:R382"/>
    <mergeCell ref="B313:F313"/>
    <mergeCell ref="B314:F314"/>
    <mergeCell ref="A400:K400"/>
    <mergeCell ref="L400:R400"/>
    <mergeCell ref="A401:K401"/>
    <mergeCell ref="L401:R401"/>
    <mergeCell ref="A432:H432"/>
    <mergeCell ref="I432:L432"/>
    <mergeCell ref="B315:F315"/>
    <mergeCell ref="L315:O315"/>
    <mergeCell ref="P315:R315"/>
    <mergeCell ref="L317:M317"/>
    <mergeCell ref="P317:R317"/>
    <mergeCell ref="L318:O318"/>
    <mergeCell ref="L321:O321"/>
    <mergeCell ref="P321:R321"/>
    <mergeCell ref="P318:R318"/>
    <mergeCell ref="O341:R341"/>
    <mergeCell ref="S472:T472"/>
    <mergeCell ref="A473:K473"/>
    <mergeCell ref="L473:R473"/>
    <mergeCell ref="A476:K476"/>
    <mergeCell ref="L476:R476"/>
    <mergeCell ref="V443:W443"/>
    <mergeCell ref="A444:C444"/>
    <mergeCell ref="K444:R444"/>
    <mergeCell ref="A445:C445"/>
    <mergeCell ref="A447:K447"/>
    <mergeCell ref="L447:R447"/>
    <mergeCell ref="A450:K450"/>
    <mergeCell ref="L450:R450"/>
    <mergeCell ref="A453:K453"/>
    <mergeCell ref="L453:R453"/>
    <mergeCell ref="L451:R451"/>
    <mergeCell ref="A471:K471"/>
    <mergeCell ref="L471:R471"/>
    <mergeCell ref="A456:R456"/>
    <mergeCell ref="A448:K448"/>
    <mergeCell ref="L448:R448"/>
    <mergeCell ref="A451:K451"/>
    <mergeCell ref="A481:R481"/>
    <mergeCell ref="A472:K472"/>
    <mergeCell ref="L472:R472"/>
    <mergeCell ref="A474:K474"/>
    <mergeCell ref="L474:R474"/>
    <mergeCell ref="A479:R479"/>
    <mergeCell ref="A489:R489"/>
    <mergeCell ref="A487:R487"/>
    <mergeCell ref="A488:R488"/>
    <mergeCell ref="A484:R484"/>
    <mergeCell ref="A485:R485"/>
    <mergeCell ref="A480:R480"/>
    <mergeCell ref="A492:R492"/>
    <mergeCell ref="A493:R493"/>
    <mergeCell ref="A505:R505"/>
    <mergeCell ref="A506:R506"/>
    <mergeCell ref="A508:R508"/>
    <mergeCell ref="A486:R486"/>
    <mergeCell ref="A490:R491"/>
    <mergeCell ref="A494:R495"/>
    <mergeCell ref="A496:R497"/>
    <mergeCell ref="A498:R499"/>
    <mergeCell ref="A500:R501"/>
    <mergeCell ref="A502:R503"/>
    <mergeCell ref="A504:R504"/>
    <mergeCell ref="A507:R507"/>
    <mergeCell ref="B25:D25"/>
    <mergeCell ref="E25:G25"/>
    <mergeCell ref="B26:D26"/>
    <mergeCell ref="E26:G26"/>
    <mergeCell ref="O45:R45"/>
    <mergeCell ref="E27:G27"/>
    <mergeCell ref="J40:N40"/>
    <mergeCell ref="O40:R40"/>
    <mergeCell ref="B27:D27"/>
    <mergeCell ref="K28:M28"/>
    <mergeCell ref="L32:O32"/>
    <mergeCell ref="L33:O33"/>
    <mergeCell ref="K29:M29"/>
    <mergeCell ref="P29:R29"/>
    <mergeCell ref="P31:R31"/>
    <mergeCell ref="P32:R32"/>
    <mergeCell ref="P33:R33"/>
    <mergeCell ref="J41:N41"/>
    <mergeCell ref="P28:R28"/>
    <mergeCell ref="P24:R24"/>
    <mergeCell ref="K25:M25"/>
    <mergeCell ref="N25:O25"/>
    <mergeCell ref="P25:R25"/>
    <mergeCell ref="N26:O26"/>
    <mergeCell ref="P26:R26"/>
    <mergeCell ref="K27:M27"/>
    <mergeCell ref="N27:O27"/>
    <mergeCell ref="P27:R27"/>
    <mergeCell ref="P58:R58"/>
    <mergeCell ref="J59:K59"/>
    <mergeCell ref="L59:M59"/>
    <mergeCell ref="N59:O59"/>
    <mergeCell ref="P59:R59"/>
    <mergeCell ref="J60:K60"/>
    <mergeCell ref="L60:M60"/>
    <mergeCell ref="N60:O60"/>
    <mergeCell ref="P60:R60"/>
    <mergeCell ref="P57:R57"/>
    <mergeCell ref="E28:G28"/>
    <mergeCell ref="H40:I40"/>
    <mergeCell ref="H41:I41"/>
    <mergeCell ref="H42:I42"/>
    <mergeCell ref="H43:I43"/>
    <mergeCell ref="H44:I44"/>
    <mergeCell ref="H45:I45"/>
    <mergeCell ref="B55:D55"/>
    <mergeCell ref="J55:K55"/>
    <mergeCell ref="P55:R55"/>
    <mergeCell ref="B28:D28"/>
    <mergeCell ref="N29:O29"/>
    <mergeCell ref="P56:R56"/>
    <mergeCell ref="P54:R54"/>
    <mergeCell ref="L52:M52"/>
    <mergeCell ref="L53:M53"/>
    <mergeCell ref="B52:D52"/>
    <mergeCell ref="N52:O52"/>
    <mergeCell ref="J56:K56"/>
    <mergeCell ref="L56:M56"/>
    <mergeCell ref="N56:O56"/>
    <mergeCell ref="L55:M55"/>
    <mergeCell ref="N55:O55"/>
    <mergeCell ref="P61:R61"/>
    <mergeCell ref="J62:K62"/>
    <mergeCell ref="L62:M62"/>
    <mergeCell ref="N62:O62"/>
    <mergeCell ref="P62:R62"/>
    <mergeCell ref="J63:K63"/>
    <mergeCell ref="L63:M63"/>
    <mergeCell ref="N63:O63"/>
    <mergeCell ref="P63:R63"/>
    <mergeCell ref="N202:R202"/>
    <mergeCell ref="E203:G203"/>
    <mergeCell ref="H203:J203"/>
    <mergeCell ref="K203:M203"/>
    <mergeCell ref="N203:R203"/>
    <mergeCell ref="E204:G204"/>
    <mergeCell ref="H204:J204"/>
    <mergeCell ref="K204:M204"/>
    <mergeCell ref="N204:R204"/>
    <mergeCell ref="L233:P233"/>
    <mergeCell ref="L235:O235"/>
    <mergeCell ref="L236:O236"/>
    <mergeCell ref="P236:R236"/>
    <mergeCell ref="B236:F236"/>
    <mergeCell ref="B237:F237"/>
    <mergeCell ref="L237:O237"/>
    <mergeCell ref="E205:G205"/>
    <mergeCell ref="H205:J205"/>
    <mergeCell ref="K205:M205"/>
    <mergeCell ref="N205:R205"/>
    <mergeCell ref="E206:G206"/>
    <mergeCell ref="H206:J206"/>
    <mergeCell ref="K206:M206"/>
    <mergeCell ref="N206:R206"/>
    <mergeCell ref="E207:G207"/>
    <mergeCell ref="H207:J207"/>
    <mergeCell ref="K207:M207"/>
    <mergeCell ref="N207:R207"/>
    <mergeCell ref="H208:J208"/>
    <mergeCell ref="L238:O238"/>
    <mergeCell ref="E208:G208"/>
    <mergeCell ref="K208:M208"/>
    <mergeCell ref="P312:R312"/>
    <mergeCell ref="B269:F269"/>
    <mergeCell ref="B270:F270"/>
    <mergeCell ref="B307:F307"/>
    <mergeCell ref="N278:O278"/>
    <mergeCell ref="P278:R278"/>
    <mergeCell ref="L307:P307"/>
    <mergeCell ref="Q307:R307"/>
    <mergeCell ref="P309:R309"/>
    <mergeCell ref="L310:O310"/>
    <mergeCell ref="P310:R310"/>
    <mergeCell ref="L271:O271"/>
    <mergeCell ref="B309:F309"/>
    <mergeCell ref="B310:F310"/>
    <mergeCell ref="B311:F311"/>
    <mergeCell ref="B312:F312"/>
    <mergeCell ref="Q304:R304"/>
    <mergeCell ref="B305:F305"/>
    <mergeCell ref="L305:P305"/>
    <mergeCell ref="Q305:R305"/>
    <mergeCell ref="A231:R231"/>
  </mergeCells>
  <conditionalFormatting sqref="L474:R474">
    <cfRule type="cellIs" dxfId="10" priority="5" operator="greaterThan">
      <formula>0.01</formula>
    </cfRule>
  </conditionalFormatting>
  <conditionalFormatting sqref="O367:R367">
    <cfRule type="cellIs" dxfId="9" priority="22" operator="greaterThan">
      <formula>0.5</formula>
    </cfRule>
  </conditionalFormatting>
  <conditionalFormatting sqref="P242:R242">
    <cfRule type="cellIs" dxfId="8" priority="19" operator="equal">
      <formula>"Encerrar"</formula>
    </cfRule>
    <cfRule type="cellIs" dxfId="7" priority="20" operator="equal">
      <formula>"Continuar"</formula>
    </cfRule>
  </conditionalFormatting>
  <conditionalFormatting sqref="P279:R279">
    <cfRule type="cellIs" dxfId="6" priority="8" operator="equal">
      <formula>"Encerrar"</formula>
    </cfRule>
    <cfRule type="cellIs" dxfId="5" priority="9" operator="equal">
      <formula>"Continuar"</formula>
    </cfRule>
  </conditionalFormatting>
  <conditionalFormatting sqref="P318:R318">
    <cfRule type="cellIs" dxfId="4" priority="6" operator="equal">
      <formula>"Encerrar"</formula>
    </cfRule>
    <cfRule type="cellIs" dxfId="3" priority="7" operator="equal">
      <formula>"Continuar"</formula>
    </cfRule>
  </conditionalFormatting>
  <conditionalFormatting sqref="S472">
    <cfRule type="containsText" dxfId="2" priority="4" operator="containsText" text="Reduzir o número de casas decimais">
      <formula>NOT(ISERROR(SEARCH("Reduzir o número de casas decimais",S472)))</formula>
    </cfRule>
  </conditionalFormatting>
  <dataValidations count="5">
    <dataValidation type="list" allowBlank="1" showInputMessage="1" showErrorMessage="1" sqref="F427 M427:R427" xr:uid="{2D5A58A1-4361-400E-B433-2D9B3974361E}">
      <formula1>$AA$418:$AA$426</formula1>
    </dataValidation>
    <dataValidation type="list" allowBlank="1" showInputMessage="1" showErrorMessage="1" sqref="D397:I397" xr:uid="{BC7723A1-F713-4D77-A225-4755655D3AAE}">
      <formula1>$AH$389:$AH$397</formula1>
    </dataValidation>
    <dataValidation type="list" allowBlank="1" showInputMessage="1" showErrorMessage="1" sqref="D396:I396" xr:uid="{16BA2861-BB4D-4547-B36D-9B65721AAE3C}">
      <formula1>$AI$393:$AI$396</formula1>
    </dataValidation>
    <dataValidation type="list" allowBlank="1" showInputMessage="1" showErrorMessage="1" sqref="O396:R396" xr:uid="{F36208C9-7AC5-49C3-82E9-188C9A389661}">
      <formula1>$AI$389:$AI$391</formula1>
    </dataValidation>
    <dataValidation type="list" allowBlank="1" showInputMessage="1" showErrorMessage="1" sqref="K18:K29" xr:uid="{5C2DD489-0C83-42A1-A5AC-6D8E4F2B2F12}">
      <formula1>$T$19:$T$20</formula1>
    </dataValidation>
  </dataValidations>
  <printOptions horizontalCentered="1"/>
  <pageMargins left="0.25" right="0.25" top="0.75" bottom="0.75" header="0.3" footer="0.3"/>
  <pageSetup paperSize="9" scale="7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2DB5E13-AD15-481A-BF7C-93651FB823CC}">
          <x14:formula1>
            <xm:f>'VANTAGEM DA COISA FEITA'!$AN$11:$AQ$11</xm:f>
          </x14:formula1>
          <xm:sqref>K444:R444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694D1-DE77-4BFC-AA42-CB068916CE4B}">
  <dimension ref="A1:BH81"/>
  <sheetViews>
    <sheetView workbookViewId="0">
      <selection sqref="A1:R1"/>
    </sheetView>
  </sheetViews>
  <sheetFormatPr defaultColWidth="20.625" defaultRowHeight="15" x14ac:dyDescent="0.25"/>
  <cols>
    <col min="1" max="18" width="6.625" style="98" customWidth="1"/>
    <col min="19" max="16384" width="20.625" style="92"/>
  </cols>
  <sheetData>
    <row r="1" spans="1:60" ht="20.100000000000001" customHeight="1" thickBot="1" x14ac:dyDescent="0.3">
      <c r="A1" s="214" t="s">
        <v>286</v>
      </c>
      <c r="B1" s="214"/>
      <c r="C1" s="214"/>
      <c r="D1" s="214"/>
      <c r="E1" s="214"/>
      <c r="F1" s="214"/>
      <c r="G1" s="214"/>
      <c r="H1" s="214"/>
      <c r="I1" s="214"/>
      <c r="J1" s="214"/>
      <c r="K1" s="214"/>
      <c r="L1" s="214"/>
      <c r="M1" s="214"/>
      <c r="N1" s="214"/>
      <c r="O1" s="214"/>
      <c r="P1" s="214"/>
      <c r="Q1" s="214"/>
      <c r="R1" s="214"/>
    </row>
    <row r="2" spans="1:60" x14ac:dyDescent="0.25">
      <c r="A2" s="21"/>
      <c r="B2" s="21"/>
      <c r="C2" s="21"/>
      <c r="D2" s="21"/>
      <c r="E2" s="21"/>
      <c r="F2" s="21"/>
      <c r="G2" s="21"/>
      <c r="H2" s="21"/>
      <c r="I2" s="21"/>
      <c r="J2" s="21"/>
      <c r="K2" s="21"/>
      <c r="L2" s="21"/>
      <c r="M2" s="21"/>
      <c r="N2" s="21"/>
      <c r="O2" s="21"/>
      <c r="P2" s="21"/>
      <c r="Q2" s="21"/>
      <c r="R2" s="21"/>
    </row>
    <row r="3" spans="1:60" ht="20.100000000000001" customHeight="1" x14ac:dyDescent="0.25">
      <c r="A3" s="215" t="s">
        <v>287</v>
      </c>
      <c r="B3" s="215"/>
      <c r="C3" s="215"/>
      <c r="D3" s="215"/>
      <c r="E3" s="215"/>
      <c r="F3" s="215"/>
      <c r="G3" s="215"/>
      <c r="H3" s="215"/>
      <c r="I3" s="215"/>
      <c r="J3" s="215"/>
      <c r="K3" s="215"/>
      <c r="L3" s="215"/>
      <c r="M3" s="215"/>
      <c r="N3" s="215"/>
      <c r="O3" s="215"/>
      <c r="P3" s="215"/>
      <c r="Q3" s="215"/>
      <c r="R3" s="215"/>
    </row>
    <row r="4" spans="1:60" ht="20.100000000000001" customHeight="1" x14ac:dyDescent="0.25">
      <c r="A4" s="215"/>
      <c r="B4" s="215"/>
      <c r="C4" s="215"/>
      <c r="D4" s="215"/>
      <c r="E4" s="215"/>
      <c r="F4" s="215"/>
      <c r="G4" s="215"/>
      <c r="H4" s="215"/>
      <c r="I4" s="215"/>
      <c r="J4" s="215"/>
      <c r="K4" s="215"/>
      <c r="L4" s="215"/>
      <c r="M4" s="215"/>
      <c r="N4" s="215"/>
      <c r="O4" s="215"/>
      <c r="P4" s="215"/>
      <c r="Q4" s="215"/>
      <c r="R4" s="215"/>
    </row>
    <row r="5" spans="1:60" ht="20.100000000000001" customHeight="1" x14ac:dyDescent="0.25">
      <c r="A5" s="208" t="s">
        <v>288</v>
      </c>
      <c r="B5" s="208"/>
      <c r="C5" s="208"/>
      <c r="D5" s="208"/>
      <c r="E5" s="208"/>
      <c r="F5" s="208"/>
      <c r="G5" s="208"/>
      <c r="H5" s="208"/>
      <c r="I5" s="208"/>
      <c r="J5" s="208"/>
      <c r="K5" s="208"/>
      <c r="L5" s="208"/>
      <c r="M5" s="208"/>
      <c r="N5" s="208"/>
      <c r="O5" s="208"/>
      <c r="P5" s="208"/>
      <c r="Q5" s="208"/>
      <c r="R5" s="208"/>
    </row>
    <row r="6" spans="1:60" ht="20.100000000000001" customHeight="1" x14ac:dyDescent="0.25">
      <c r="A6" s="216" t="s">
        <v>289</v>
      </c>
      <c r="B6" s="216"/>
      <c r="C6" s="216"/>
      <c r="D6" s="216"/>
      <c r="E6" s="216" t="s">
        <v>290</v>
      </c>
      <c r="F6" s="216"/>
      <c r="G6" s="216" t="s">
        <v>291</v>
      </c>
      <c r="H6" s="216"/>
      <c r="I6" s="216"/>
      <c r="J6" s="216"/>
      <c r="K6" s="216" t="s">
        <v>292</v>
      </c>
      <c r="L6" s="216"/>
      <c r="M6" s="216"/>
      <c r="N6" s="216"/>
      <c r="O6" s="216" t="s">
        <v>293</v>
      </c>
      <c r="P6" s="216"/>
      <c r="Q6" s="216"/>
      <c r="R6" s="216"/>
    </row>
    <row r="7" spans="1:60" ht="20.100000000000001" customHeight="1" x14ac:dyDescent="0.25">
      <c r="A7" s="210" t="s">
        <v>294</v>
      </c>
      <c r="B7" s="210"/>
      <c r="C7" s="210"/>
      <c r="D7" s="210"/>
      <c r="E7" s="207">
        <v>0.25</v>
      </c>
      <c r="F7" s="207"/>
      <c r="G7" s="207">
        <v>0.25</v>
      </c>
      <c r="H7" s="207"/>
      <c r="I7" s="207">
        <v>0.21</v>
      </c>
      <c r="J7" s="207"/>
      <c r="K7" s="207">
        <v>0.21</v>
      </c>
      <c r="L7" s="207"/>
      <c r="M7" s="207">
        <v>0.13</v>
      </c>
      <c r="N7" s="207"/>
      <c r="O7" s="207">
        <v>0.13</v>
      </c>
      <c r="P7" s="207"/>
      <c r="Q7" s="207">
        <v>0</v>
      </c>
      <c r="R7" s="207"/>
    </row>
    <row r="8" spans="1:60" ht="20.100000000000001" customHeight="1" x14ac:dyDescent="0.25">
      <c r="A8" s="210"/>
      <c r="B8" s="210"/>
      <c r="C8" s="210"/>
      <c r="D8" s="210"/>
      <c r="E8" s="207"/>
      <c r="F8" s="207"/>
      <c r="G8" s="207"/>
      <c r="H8" s="207"/>
      <c r="I8" s="207"/>
      <c r="J8" s="207"/>
      <c r="K8" s="207"/>
      <c r="L8" s="207"/>
      <c r="M8" s="207"/>
      <c r="N8" s="207"/>
      <c r="O8" s="207"/>
      <c r="P8" s="207"/>
      <c r="Q8" s="207"/>
      <c r="R8" s="207"/>
      <c r="AM8" s="213" t="s">
        <v>295</v>
      </c>
      <c r="AN8" s="213"/>
      <c r="AO8" s="88" t="e">
        <v>#REF!</v>
      </c>
    </row>
    <row r="9" spans="1:60" ht="20.100000000000001" customHeight="1" x14ac:dyDescent="0.25">
      <c r="A9" s="210" t="s">
        <v>296</v>
      </c>
      <c r="B9" s="210"/>
      <c r="C9" s="210"/>
      <c r="D9" s="210"/>
      <c r="E9" s="207">
        <v>0.15</v>
      </c>
      <c r="F9" s="207"/>
      <c r="G9" s="207">
        <v>0.15</v>
      </c>
      <c r="H9" s="207"/>
      <c r="I9" s="207">
        <v>0.125</v>
      </c>
      <c r="J9" s="207"/>
      <c r="K9" s="207">
        <v>0.125</v>
      </c>
      <c r="L9" s="207"/>
      <c r="M9" s="207">
        <v>7.8E-2</v>
      </c>
      <c r="N9" s="207"/>
      <c r="O9" s="207">
        <v>7.8E-2</v>
      </c>
      <c r="P9" s="207"/>
      <c r="Q9" s="207">
        <v>0</v>
      </c>
      <c r="R9" s="207"/>
      <c r="AM9" s="213" t="s">
        <v>297</v>
      </c>
      <c r="AN9" s="213"/>
      <c r="AO9" s="88" t="e">
        <v>#REF!</v>
      </c>
    </row>
    <row r="10" spans="1:60" ht="20.100000000000001" customHeight="1" x14ac:dyDescent="0.25">
      <c r="A10" s="210"/>
      <c r="B10" s="210"/>
      <c r="C10" s="210"/>
      <c r="D10" s="210"/>
      <c r="E10" s="207"/>
      <c r="F10" s="207"/>
      <c r="G10" s="207"/>
      <c r="H10" s="207"/>
      <c r="I10" s="207"/>
      <c r="J10" s="207"/>
      <c r="K10" s="207"/>
      <c r="L10" s="207"/>
      <c r="M10" s="207"/>
      <c r="N10" s="207"/>
      <c r="O10" s="207"/>
      <c r="P10" s="207"/>
      <c r="Q10" s="207"/>
      <c r="R10" s="207"/>
    </row>
    <row r="11" spans="1:60" ht="20.100000000000001" customHeight="1" x14ac:dyDescent="0.25">
      <c r="A11" s="210" t="s">
        <v>298</v>
      </c>
      <c r="B11" s="210"/>
      <c r="C11" s="210"/>
      <c r="D11" s="210"/>
      <c r="E11" s="207">
        <v>0.1</v>
      </c>
      <c r="F11" s="207"/>
      <c r="G11" s="207">
        <v>0.1</v>
      </c>
      <c r="H11" s="207"/>
      <c r="I11" s="207">
        <v>8.4000000000000005E-2</v>
      </c>
      <c r="J11" s="207"/>
      <c r="K11" s="207">
        <v>8.4000000000000005E-2</v>
      </c>
      <c r="L11" s="207"/>
      <c r="M11" s="207">
        <v>5.1999999999999998E-2</v>
      </c>
      <c r="N11" s="207"/>
      <c r="O11" s="207">
        <v>5.1999999999999998E-2</v>
      </c>
      <c r="P11" s="207"/>
      <c r="Q11" s="207">
        <v>0</v>
      </c>
      <c r="R11" s="207"/>
      <c r="AM11" s="93" t="s">
        <v>299</v>
      </c>
      <c r="AN11" s="93" t="s">
        <v>294</v>
      </c>
      <c r="AO11" s="93" t="s">
        <v>296</v>
      </c>
      <c r="AP11" s="93" t="s">
        <v>298</v>
      </c>
      <c r="AQ11" s="93" t="s">
        <v>300</v>
      </c>
      <c r="AS11" s="211" t="s">
        <v>301</v>
      </c>
      <c r="AT11" s="211"/>
      <c r="AU11" s="211"/>
      <c r="AV11" s="211"/>
      <c r="AW11" s="211"/>
      <c r="AX11" s="211"/>
      <c r="AY11" s="211"/>
      <c r="AZ11" s="211"/>
      <c r="BA11" s="211"/>
      <c r="BB11" s="211"/>
    </row>
    <row r="12" spans="1:60" ht="20.100000000000001" customHeight="1" x14ac:dyDescent="0.25">
      <c r="A12" s="210"/>
      <c r="B12" s="210"/>
      <c r="C12" s="210"/>
      <c r="D12" s="210"/>
      <c r="E12" s="207"/>
      <c r="F12" s="207"/>
      <c r="G12" s="207"/>
      <c r="H12" s="207"/>
      <c r="I12" s="207"/>
      <c r="J12" s="207"/>
      <c r="K12" s="207"/>
      <c r="L12" s="207"/>
      <c r="M12" s="207"/>
      <c r="N12" s="207"/>
      <c r="O12" s="207"/>
      <c r="P12" s="207"/>
      <c r="Q12" s="207"/>
      <c r="R12" s="207"/>
      <c r="AM12" s="91">
        <v>1</v>
      </c>
      <c r="AN12" s="94">
        <v>0.24600000000000002</v>
      </c>
      <c r="AO12" s="94">
        <v>0.14749999999999999</v>
      </c>
      <c r="AP12" s="94">
        <v>9.8400000000000001E-2</v>
      </c>
      <c r="AQ12" s="94">
        <v>4.9200000000000001E-2</v>
      </c>
      <c r="AS12" s="212"/>
      <c r="AT12" s="95">
        <v>1</v>
      </c>
      <c r="AU12" s="212"/>
      <c r="AV12" s="96">
        <v>24.6</v>
      </c>
      <c r="AW12" s="212"/>
      <c r="AX12" s="96">
        <v>14.75</v>
      </c>
      <c r="AY12" s="212"/>
      <c r="AZ12" s="96">
        <v>9.84</v>
      </c>
      <c r="BA12" s="212"/>
      <c r="BB12" s="96">
        <v>4.92</v>
      </c>
      <c r="BE12" s="97"/>
      <c r="BF12" s="97"/>
      <c r="BG12" s="97"/>
      <c r="BH12" s="97"/>
    </row>
    <row r="13" spans="1:60" ht="20.100000000000001" customHeight="1" x14ac:dyDescent="0.25">
      <c r="A13" s="210" t="s">
        <v>300</v>
      </c>
      <c r="B13" s="210"/>
      <c r="C13" s="210"/>
      <c r="D13" s="210"/>
      <c r="E13" s="207">
        <v>0.05</v>
      </c>
      <c r="F13" s="207"/>
      <c r="G13" s="207">
        <v>0.05</v>
      </c>
      <c r="H13" s="207"/>
      <c r="I13" s="207">
        <v>4.2000000000000003E-2</v>
      </c>
      <c r="J13" s="207"/>
      <c r="K13" s="207">
        <v>4.2000000000000003E-2</v>
      </c>
      <c r="L13" s="207"/>
      <c r="M13" s="207">
        <v>2.5999999999999999E-2</v>
      </c>
      <c r="N13" s="207"/>
      <c r="O13" s="207">
        <v>2.5999999999999999E-2</v>
      </c>
      <c r="P13" s="207"/>
      <c r="Q13" s="207">
        <v>0</v>
      </c>
      <c r="R13" s="207"/>
      <c r="AM13" s="91">
        <v>2</v>
      </c>
      <c r="AN13" s="94">
        <v>0.24199999999999999</v>
      </c>
      <c r="AO13" s="94">
        <v>0.14499999999999999</v>
      </c>
      <c r="AP13" s="94">
        <v>9.6799999999999997E-2</v>
      </c>
      <c r="AQ13" s="94">
        <v>4.8399999999999999E-2</v>
      </c>
      <c r="AS13" s="212"/>
      <c r="AT13" s="95">
        <v>2</v>
      </c>
      <c r="AU13" s="212"/>
      <c r="AV13" s="96">
        <v>24.2</v>
      </c>
      <c r="AW13" s="212"/>
      <c r="AX13" s="96">
        <v>14.5</v>
      </c>
      <c r="AY13" s="212"/>
      <c r="AZ13" s="96">
        <v>9.68</v>
      </c>
      <c r="BA13" s="212"/>
      <c r="BB13" s="96">
        <v>4.84</v>
      </c>
      <c r="BE13" s="97"/>
      <c r="BF13" s="97"/>
      <c r="BG13" s="97"/>
      <c r="BH13" s="97"/>
    </row>
    <row r="14" spans="1:60" ht="20.100000000000001" customHeight="1" x14ac:dyDescent="0.25">
      <c r="A14" s="210"/>
      <c r="B14" s="210"/>
      <c r="C14" s="210"/>
      <c r="D14" s="210"/>
      <c r="E14" s="207"/>
      <c r="F14" s="207"/>
      <c r="G14" s="207"/>
      <c r="H14" s="207"/>
      <c r="I14" s="207"/>
      <c r="J14" s="207"/>
      <c r="K14" s="207"/>
      <c r="L14" s="207"/>
      <c r="M14" s="207"/>
      <c r="N14" s="207"/>
      <c r="O14" s="207"/>
      <c r="P14" s="207"/>
      <c r="Q14" s="207"/>
      <c r="R14" s="207"/>
      <c r="AM14" s="91">
        <v>3</v>
      </c>
      <c r="AN14" s="94">
        <v>0.23800000000000002</v>
      </c>
      <c r="AO14" s="94">
        <v>0.14249999999999999</v>
      </c>
      <c r="AP14" s="94">
        <v>9.5199999999999993E-2</v>
      </c>
      <c r="AQ14" s="94">
        <v>4.7599999999999996E-2</v>
      </c>
      <c r="AS14" s="212"/>
      <c r="AT14" s="95">
        <v>3</v>
      </c>
      <c r="AU14" s="212"/>
      <c r="AV14" s="96">
        <v>23.8</v>
      </c>
      <c r="AW14" s="212"/>
      <c r="AX14" s="96">
        <v>14.25</v>
      </c>
      <c r="AY14" s="212"/>
      <c r="AZ14" s="96">
        <v>9.52</v>
      </c>
      <c r="BA14" s="212"/>
      <c r="BB14" s="96">
        <v>4.76</v>
      </c>
      <c r="BE14" s="97"/>
      <c r="BF14" s="97"/>
      <c r="BG14" s="97"/>
      <c r="BH14" s="97"/>
    </row>
    <row r="15" spans="1:60" ht="20.100000000000001" customHeight="1" x14ac:dyDescent="0.25">
      <c r="A15" s="208" t="s">
        <v>302</v>
      </c>
      <c r="B15" s="208"/>
      <c r="C15" s="208"/>
      <c r="D15" s="208"/>
      <c r="E15" s="208"/>
      <c r="F15" s="208"/>
      <c r="G15" s="208"/>
      <c r="H15" s="208"/>
      <c r="I15" s="208"/>
      <c r="J15" s="208"/>
      <c r="K15" s="208"/>
      <c r="L15" s="208"/>
      <c r="M15" s="208"/>
      <c r="N15" s="208"/>
      <c r="O15" s="208"/>
      <c r="P15" s="208"/>
      <c r="Q15" s="208"/>
      <c r="R15" s="208"/>
      <c r="AM15" s="91">
        <v>4</v>
      </c>
      <c r="AN15" s="94">
        <v>0.23399999999999999</v>
      </c>
      <c r="AO15" s="94">
        <v>0.14000000000000001</v>
      </c>
      <c r="AP15" s="94">
        <v>9.3599999999999989E-2</v>
      </c>
      <c r="AQ15" s="94">
        <v>4.6799999999999994E-2</v>
      </c>
      <c r="AS15" s="212"/>
      <c r="AT15" s="95">
        <v>4</v>
      </c>
      <c r="AU15" s="212"/>
      <c r="AV15" s="96">
        <v>23.4</v>
      </c>
      <c r="AW15" s="212"/>
      <c r="AX15" s="96">
        <v>14</v>
      </c>
      <c r="AY15" s="212"/>
      <c r="AZ15" s="96">
        <v>9.36</v>
      </c>
      <c r="BA15" s="212"/>
      <c r="BB15" s="96">
        <v>4.68</v>
      </c>
      <c r="BE15" s="97"/>
      <c r="BF15" s="97"/>
      <c r="BG15" s="97"/>
      <c r="BH15" s="97"/>
    </row>
    <row r="16" spans="1:60" ht="20.100000000000001" customHeight="1" x14ac:dyDescent="0.25">
      <c r="A16" s="208" t="s">
        <v>303</v>
      </c>
      <c r="B16" s="208"/>
      <c r="C16" s="208"/>
      <c r="D16" s="208"/>
      <c r="E16" s="208"/>
      <c r="F16" s="208"/>
      <c r="G16" s="208"/>
      <c r="H16" s="208"/>
      <c r="I16" s="208"/>
      <c r="J16" s="208"/>
      <c r="K16" s="208"/>
      <c r="L16" s="208"/>
      <c r="M16" s="208"/>
      <c r="N16" s="208"/>
      <c r="O16" s="208"/>
      <c r="P16" s="208"/>
      <c r="Q16" s="208"/>
      <c r="R16" s="208"/>
      <c r="AM16" s="91">
        <v>5</v>
      </c>
      <c r="AN16" s="94">
        <v>0.23</v>
      </c>
      <c r="AO16" s="94">
        <v>0.13750000000000001</v>
      </c>
      <c r="AP16" s="94">
        <v>9.1999999999999998E-2</v>
      </c>
      <c r="AQ16" s="94">
        <v>4.5999999999999999E-2</v>
      </c>
      <c r="AS16" s="212"/>
      <c r="AT16" s="95">
        <v>5</v>
      </c>
      <c r="AU16" s="212"/>
      <c r="AV16" s="96">
        <v>23</v>
      </c>
      <c r="AW16" s="212"/>
      <c r="AX16" s="96">
        <v>13.75</v>
      </c>
      <c r="AY16" s="212"/>
      <c r="AZ16" s="96">
        <v>9.1999999999999993</v>
      </c>
      <c r="BA16" s="212"/>
      <c r="BB16" s="96">
        <v>4.5999999999999996</v>
      </c>
      <c r="BE16" s="97"/>
      <c r="BF16" s="97"/>
      <c r="BG16" s="97"/>
      <c r="BH16" s="97"/>
    </row>
    <row r="17" spans="1:60" ht="20.100000000000001" customHeight="1" x14ac:dyDescent="0.25">
      <c r="A17" s="208" t="s">
        <v>304</v>
      </c>
      <c r="B17" s="208"/>
      <c r="C17" s="208"/>
      <c r="D17" s="209" t="s">
        <v>305</v>
      </c>
      <c r="E17" s="209"/>
      <c r="F17" s="209"/>
      <c r="G17" s="209"/>
      <c r="H17" s="209"/>
      <c r="I17" s="209"/>
      <c r="J17" s="209"/>
      <c r="K17" s="209"/>
      <c r="L17" s="209"/>
      <c r="M17" s="209"/>
      <c r="N17" s="209"/>
      <c r="O17" s="209"/>
      <c r="P17" s="209"/>
      <c r="Q17" s="209"/>
      <c r="R17" s="209"/>
      <c r="AM17" s="91">
        <v>6</v>
      </c>
      <c r="AN17" s="94">
        <v>0.22600000000000001</v>
      </c>
      <c r="AO17" s="94">
        <v>0.13500000000000001</v>
      </c>
      <c r="AP17" s="94">
        <v>9.0399999999999994E-2</v>
      </c>
      <c r="AQ17" s="94">
        <v>4.5199999999999997E-2</v>
      </c>
      <c r="AS17" s="212"/>
      <c r="AT17" s="95">
        <v>6</v>
      </c>
      <c r="AU17" s="212"/>
      <c r="AV17" s="96">
        <v>22.6</v>
      </c>
      <c r="AW17" s="212"/>
      <c r="AX17" s="96">
        <v>13.5</v>
      </c>
      <c r="AY17" s="212"/>
      <c r="AZ17" s="96">
        <v>9.0399999999999991</v>
      </c>
      <c r="BA17" s="212"/>
      <c r="BB17" s="96">
        <v>4.5199999999999996</v>
      </c>
      <c r="BE17" s="97"/>
      <c r="BF17" s="97"/>
      <c r="BG17" s="97"/>
      <c r="BH17" s="97"/>
    </row>
    <row r="18" spans="1:60" ht="20.100000000000001" customHeight="1" x14ac:dyDescent="0.25">
      <c r="A18" s="129" t="s">
        <v>306</v>
      </c>
      <c r="B18" s="129"/>
      <c r="C18" s="129"/>
      <c r="D18" s="129"/>
      <c r="E18" s="129"/>
      <c r="F18" s="129"/>
      <c r="G18" s="129"/>
      <c r="H18" s="129"/>
      <c r="I18" s="129"/>
      <c r="J18" s="129"/>
      <c r="K18" s="129"/>
      <c r="L18" s="129"/>
      <c r="M18" s="129"/>
      <c r="N18" s="129"/>
      <c r="O18" s="129"/>
      <c r="P18" s="129"/>
      <c r="Q18" s="129"/>
      <c r="R18" s="129"/>
      <c r="AM18" s="91">
        <v>7</v>
      </c>
      <c r="AN18" s="94">
        <v>0.222</v>
      </c>
      <c r="AO18" s="94">
        <v>0.13250000000000001</v>
      </c>
      <c r="AP18" s="94">
        <v>8.879999999999999E-2</v>
      </c>
      <c r="AQ18" s="94">
        <v>4.4399999999999995E-2</v>
      </c>
      <c r="AS18" s="212"/>
      <c r="AT18" s="95">
        <v>7</v>
      </c>
      <c r="AU18" s="212"/>
      <c r="AV18" s="96">
        <v>22.2</v>
      </c>
      <c r="AW18" s="212"/>
      <c r="AX18" s="96">
        <v>13.25</v>
      </c>
      <c r="AY18" s="212"/>
      <c r="AZ18" s="96">
        <v>8.879999999999999</v>
      </c>
      <c r="BA18" s="212"/>
      <c r="BB18" s="96">
        <v>4.4399999999999995</v>
      </c>
      <c r="BE18" s="97"/>
      <c r="BF18" s="97"/>
      <c r="BG18" s="97"/>
      <c r="BH18" s="97"/>
    </row>
    <row r="19" spans="1:60" ht="20.100000000000001" customHeight="1" x14ac:dyDescent="0.25">
      <c r="A19" s="129"/>
      <c r="B19" s="129"/>
      <c r="C19" s="129"/>
      <c r="D19" s="129"/>
      <c r="E19" s="129"/>
      <c r="F19" s="129"/>
      <c r="G19" s="129"/>
      <c r="H19" s="129"/>
      <c r="I19" s="129"/>
      <c r="J19" s="129"/>
      <c r="K19" s="129"/>
      <c r="L19" s="129"/>
      <c r="M19" s="129"/>
      <c r="N19" s="129"/>
      <c r="O19" s="129"/>
      <c r="P19" s="129"/>
      <c r="Q19" s="129"/>
      <c r="R19" s="129"/>
      <c r="AM19" s="91">
        <v>8</v>
      </c>
      <c r="AN19" s="94">
        <v>0.218</v>
      </c>
      <c r="AO19" s="94">
        <v>0.13</v>
      </c>
      <c r="AP19" s="94">
        <v>8.72E-2</v>
      </c>
      <c r="AQ19" s="94">
        <v>4.36E-2</v>
      </c>
      <c r="AS19" s="212"/>
      <c r="AT19" s="95">
        <v>8</v>
      </c>
      <c r="AU19" s="212"/>
      <c r="AV19" s="96">
        <v>21.8</v>
      </c>
      <c r="AW19" s="212"/>
      <c r="AX19" s="96">
        <v>13</v>
      </c>
      <c r="AY19" s="212"/>
      <c r="AZ19" s="96">
        <v>8.7200000000000006</v>
      </c>
      <c r="BA19" s="212"/>
      <c r="BB19" s="96">
        <v>4.3600000000000003</v>
      </c>
      <c r="BE19" s="97"/>
      <c r="BF19" s="97"/>
      <c r="BG19" s="97"/>
      <c r="BH19" s="97"/>
    </row>
    <row r="20" spans="1:60" ht="20.100000000000001" customHeight="1" x14ac:dyDescent="0.25">
      <c r="A20" s="129"/>
      <c r="B20" s="129"/>
      <c r="C20" s="129"/>
      <c r="D20" s="129"/>
      <c r="E20" s="129"/>
      <c r="F20" s="129"/>
      <c r="G20" s="129"/>
      <c r="H20" s="129"/>
      <c r="I20" s="129"/>
      <c r="J20" s="129"/>
      <c r="K20" s="129"/>
      <c r="L20" s="129"/>
      <c r="M20" s="129"/>
      <c r="N20" s="129"/>
      <c r="O20" s="129"/>
      <c r="P20" s="129"/>
      <c r="Q20" s="129"/>
      <c r="R20" s="129"/>
      <c r="AM20" s="91">
        <v>9</v>
      </c>
      <c r="AN20" s="94">
        <v>0.214</v>
      </c>
      <c r="AO20" s="94">
        <v>0.1275</v>
      </c>
      <c r="AP20" s="94">
        <v>8.5600000000000009E-2</v>
      </c>
      <c r="AQ20" s="94">
        <v>4.2800000000000005E-2</v>
      </c>
      <c r="AS20" s="212"/>
      <c r="AT20" s="95">
        <v>9</v>
      </c>
      <c r="AU20" s="212"/>
      <c r="AV20" s="96">
        <v>21.4</v>
      </c>
      <c r="AW20" s="212"/>
      <c r="AX20" s="96">
        <v>12.75</v>
      </c>
      <c r="AY20" s="212"/>
      <c r="AZ20" s="96">
        <v>8.56</v>
      </c>
      <c r="BA20" s="212"/>
      <c r="BB20" s="96">
        <v>4.28</v>
      </c>
      <c r="BE20" s="97"/>
      <c r="BF20" s="97"/>
      <c r="BG20" s="97"/>
      <c r="BH20" s="97"/>
    </row>
    <row r="21" spans="1:60" ht="20.100000000000001" customHeight="1" x14ac:dyDescent="0.25">
      <c r="A21" s="92"/>
      <c r="B21" s="92"/>
      <c r="C21" s="92"/>
      <c r="D21" s="92"/>
      <c r="E21" s="92"/>
      <c r="F21" s="92"/>
      <c r="G21" s="92"/>
      <c r="H21" s="92"/>
      <c r="I21" s="92"/>
      <c r="J21" s="92"/>
      <c r="K21" s="92"/>
      <c r="L21" s="92"/>
      <c r="M21" s="92"/>
      <c r="N21" s="92"/>
      <c r="O21" s="92"/>
      <c r="P21" s="92"/>
      <c r="Q21" s="92"/>
      <c r="R21" s="92"/>
      <c r="AM21" s="91">
        <v>10</v>
      </c>
      <c r="AN21" s="94">
        <v>0.21</v>
      </c>
      <c r="AO21" s="94">
        <v>0.125</v>
      </c>
      <c r="AP21" s="94">
        <v>8.4000000000000005E-2</v>
      </c>
      <c r="AQ21" s="94">
        <v>4.2000000000000003E-2</v>
      </c>
      <c r="AS21" s="212"/>
      <c r="AT21" s="95">
        <v>10</v>
      </c>
      <c r="AU21" s="212"/>
      <c r="AV21" s="96">
        <v>21</v>
      </c>
      <c r="AW21" s="212"/>
      <c r="AX21" s="96">
        <v>12.5</v>
      </c>
      <c r="AY21" s="212"/>
      <c r="AZ21" s="96">
        <v>8.4</v>
      </c>
      <c r="BA21" s="212"/>
      <c r="BB21" s="96">
        <v>4.2</v>
      </c>
      <c r="BE21" s="97"/>
      <c r="BF21" s="97"/>
      <c r="BG21" s="97"/>
      <c r="BH21" s="97"/>
    </row>
    <row r="22" spans="1:60" ht="20.100000000000001" customHeight="1" x14ac:dyDescent="0.25">
      <c r="A22" s="92"/>
      <c r="B22" s="92"/>
      <c r="C22" s="92"/>
      <c r="D22" s="92"/>
      <c r="E22" s="92"/>
      <c r="F22" s="92"/>
      <c r="G22" s="92"/>
      <c r="H22" s="92"/>
      <c r="I22" s="92"/>
      <c r="J22" s="92"/>
      <c r="K22" s="92"/>
      <c r="L22" s="92"/>
      <c r="M22" s="92"/>
      <c r="N22" s="92"/>
      <c r="O22" s="92"/>
      <c r="P22" s="92"/>
      <c r="Q22" s="92"/>
      <c r="R22" s="92"/>
      <c r="AM22" s="91">
        <v>11</v>
      </c>
      <c r="AN22" s="94">
        <v>0.20199999999999999</v>
      </c>
      <c r="AO22" s="94">
        <v>0.12029999999999999</v>
      </c>
      <c r="AP22" s="94">
        <v>8.0799999999999997E-2</v>
      </c>
      <c r="AQ22" s="94">
        <v>4.0399999999999998E-2</v>
      </c>
      <c r="AS22" s="212"/>
      <c r="AT22" s="95">
        <v>11</v>
      </c>
      <c r="AU22" s="212"/>
      <c r="AV22" s="96">
        <v>20.2</v>
      </c>
      <c r="AW22" s="212"/>
      <c r="AX22" s="96">
        <v>12.03</v>
      </c>
      <c r="AY22" s="212"/>
      <c r="AZ22" s="96">
        <v>8.08</v>
      </c>
      <c r="BA22" s="212"/>
      <c r="BB22" s="96">
        <v>4.04</v>
      </c>
      <c r="BE22" s="97"/>
      <c r="BF22" s="97"/>
      <c r="BG22" s="97"/>
      <c r="BH22" s="97"/>
    </row>
    <row r="23" spans="1:60" ht="20.100000000000001" customHeight="1" x14ac:dyDescent="0.25">
      <c r="A23" s="92"/>
      <c r="B23" s="92"/>
      <c r="C23" s="92"/>
      <c r="D23" s="92"/>
      <c r="E23" s="92"/>
      <c r="F23" s="92"/>
      <c r="G23" s="92"/>
      <c r="H23" s="92"/>
      <c r="I23" s="92"/>
      <c r="J23" s="92"/>
      <c r="K23" s="92"/>
      <c r="L23" s="92"/>
      <c r="M23" s="92"/>
      <c r="N23" s="92"/>
      <c r="O23" s="92"/>
      <c r="P23" s="92"/>
      <c r="Q23" s="92"/>
      <c r="R23" s="92"/>
      <c r="AM23" s="91">
        <v>12</v>
      </c>
      <c r="AN23" s="94">
        <v>0.19399999999999998</v>
      </c>
      <c r="AO23" s="94">
        <v>0.11560000000000001</v>
      </c>
      <c r="AP23" s="94">
        <v>7.7600000000000002E-2</v>
      </c>
      <c r="AQ23" s="94">
        <v>3.8800000000000001E-2</v>
      </c>
      <c r="AS23" s="212"/>
      <c r="AT23" s="95">
        <v>12</v>
      </c>
      <c r="AU23" s="212"/>
      <c r="AV23" s="96">
        <v>19.399999999999999</v>
      </c>
      <c r="AW23" s="212"/>
      <c r="AX23" s="96">
        <v>11.56</v>
      </c>
      <c r="AY23" s="212"/>
      <c r="AZ23" s="96">
        <v>7.7600000000000007</v>
      </c>
      <c r="BA23" s="212"/>
      <c r="BB23" s="96">
        <v>3.8800000000000003</v>
      </c>
      <c r="BE23" s="97"/>
      <c r="BF23" s="97"/>
      <c r="BG23" s="97"/>
      <c r="BH23" s="97"/>
    </row>
    <row r="24" spans="1:60" ht="20.100000000000001" customHeight="1" x14ac:dyDescent="0.25">
      <c r="A24" s="92"/>
      <c r="B24" s="92"/>
      <c r="C24" s="92"/>
      <c r="D24" s="92"/>
      <c r="E24" s="92"/>
      <c r="F24" s="92"/>
      <c r="G24" s="92"/>
      <c r="H24" s="92"/>
      <c r="I24" s="92"/>
      <c r="J24" s="92"/>
      <c r="K24" s="92"/>
      <c r="L24" s="92"/>
      <c r="M24" s="92"/>
      <c r="N24" s="92"/>
      <c r="O24" s="92"/>
      <c r="P24" s="92"/>
      <c r="Q24" s="92"/>
      <c r="R24" s="92"/>
      <c r="AM24" s="91">
        <v>13</v>
      </c>
      <c r="AN24" s="94">
        <v>0.18600000000000003</v>
      </c>
      <c r="AO24" s="94">
        <v>0.1109</v>
      </c>
      <c r="AP24" s="94">
        <v>7.4400000000000008E-2</v>
      </c>
      <c r="AQ24" s="94">
        <v>3.7200000000000004E-2</v>
      </c>
      <c r="AS24" s="212"/>
      <c r="AT24" s="95">
        <v>13</v>
      </c>
      <c r="AU24" s="212"/>
      <c r="AV24" s="96">
        <v>18.600000000000001</v>
      </c>
      <c r="AW24" s="212"/>
      <c r="AX24" s="96">
        <v>11.09</v>
      </c>
      <c r="AY24" s="212"/>
      <c r="AZ24" s="96">
        <v>7.44</v>
      </c>
      <c r="BA24" s="212"/>
      <c r="BB24" s="96">
        <v>3.72</v>
      </c>
      <c r="BE24" s="97"/>
      <c r="BF24" s="97"/>
      <c r="BG24" s="97"/>
      <c r="BH24" s="97"/>
    </row>
    <row r="25" spans="1:60" ht="20.100000000000001" customHeight="1" x14ac:dyDescent="0.25">
      <c r="A25" s="92"/>
      <c r="B25" s="92"/>
      <c r="C25" s="92"/>
      <c r="D25" s="92"/>
      <c r="E25" s="92"/>
      <c r="F25" s="92"/>
      <c r="G25" s="92"/>
      <c r="H25" s="92"/>
      <c r="I25" s="92"/>
      <c r="J25" s="92"/>
      <c r="K25" s="92"/>
      <c r="L25" s="92"/>
      <c r="M25" s="92"/>
      <c r="N25" s="92"/>
      <c r="O25" s="92"/>
      <c r="P25" s="92"/>
      <c r="Q25" s="92"/>
      <c r="R25" s="92"/>
      <c r="AM25" s="91">
        <v>14</v>
      </c>
      <c r="AN25" s="94">
        <v>0.17800000000000002</v>
      </c>
      <c r="AO25" s="94">
        <v>0.10619999999999999</v>
      </c>
      <c r="AP25" s="94">
        <v>7.1199999999999999E-2</v>
      </c>
      <c r="AQ25" s="94">
        <v>3.56E-2</v>
      </c>
      <c r="AS25" s="212"/>
      <c r="AT25" s="95">
        <v>14</v>
      </c>
      <c r="AU25" s="212"/>
      <c r="AV25" s="96">
        <v>17.8</v>
      </c>
      <c r="AW25" s="212"/>
      <c r="AX25" s="96">
        <v>10.62</v>
      </c>
      <c r="AY25" s="212"/>
      <c r="AZ25" s="96">
        <v>7.12</v>
      </c>
      <c r="BA25" s="212"/>
      <c r="BB25" s="96">
        <v>3.56</v>
      </c>
      <c r="BE25" s="97"/>
      <c r="BF25" s="97"/>
      <c r="BG25" s="97"/>
      <c r="BH25" s="97"/>
    </row>
    <row r="26" spans="1:60" ht="20.100000000000001" customHeight="1" x14ac:dyDescent="0.25">
      <c r="A26" s="92"/>
      <c r="B26" s="92"/>
      <c r="C26" s="92"/>
      <c r="D26" s="92"/>
      <c r="E26" s="92"/>
      <c r="F26" s="92"/>
      <c r="G26" s="92"/>
      <c r="H26" s="92"/>
      <c r="I26" s="92"/>
      <c r="J26" s="92"/>
      <c r="K26" s="92"/>
      <c r="L26" s="92"/>
      <c r="M26" s="92"/>
      <c r="N26" s="92"/>
      <c r="O26" s="92"/>
      <c r="P26" s="92"/>
      <c r="Q26" s="92"/>
      <c r="R26" s="92"/>
      <c r="AM26" s="91">
        <v>15</v>
      </c>
      <c r="AN26" s="94">
        <v>0.17</v>
      </c>
      <c r="AO26" s="94">
        <v>0.10150000000000001</v>
      </c>
      <c r="AP26" s="94">
        <v>6.8000000000000005E-2</v>
      </c>
      <c r="AQ26" s="94">
        <v>3.4000000000000002E-2</v>
      </c>
      <c r="AS26" s="212"/>
      <c r="AT26" s="95">
        <v>15</v>
      </c>
      <c r="AU26" s="212"/>
      <c r="AV26" s="96">
        <v>17</v>
      </c>
      <c r="AW26" s="212"/>
      <c r="AX26" s="96">
        <v>10.15</v>
      </c>
      <c r="AY26" s="212"/>
      <c r="AZ26" s="96">
        <v>6.8000000000000007</v>
      </c>
      <c r="BA26" s="212"/>
      <c r="BB26" s="96">
        <v>3.4000000000000004</v>
      </c>
      <c r="BE26" s="97"/>
      <c r="BF26" s="97"/>
      <c r="BG26" s="97"/>
      <c r="BH26" s="97"/>
    </row>
    <row r="27" spans="1:60" ht="20.100000000000001" customHeight="1" x14ac:dyDescent="0.25">
      <c r="A27" s="92"/>
      <c r="B27" s="92"/>
      <c r="C27" s="92"/>
      <c r="D27" s="92"/>
      <c r="E27" s="92"/>
      <c r="F27" s="92"/>
      <c r="G27" s="92"/>
      <c r="H27" s="92"/>
      <c r="I27" s="92"/>
      <c r="J27" s="92"/>
      <c r="K27" s="92"/>
      <c r="L27" s="92"/>
      <c r="M27" s="92"/>
      <c r="N27" s="92"/>
      <c r="O27" s="92"/>
      <c r="P27" s="92"/>
      <c r="Q27" s="92"/>
      <c r="R27" s="92"/>
      <c r="AM27" s="91">
        <v>16</v>
      </c>
      <c r="AN27" s="94">
        <v>0.16200000000000001</v>
      </c>
      <c r="AO27" s="94">
        <v>9.6799999999999997E-2</v>
      </c>
      <c r="AP27" s="94">
        <v>6.480000000000001E-2</v>
      </c>
      <c r="AQ27" s="94">
        <v>3.2400000000000005E-2</v>
      </c>
      <c r="AS27" s="212"/>
      <c r="AT27" s="95">
        <v>16</v>
      </c>
      <c r="AU27" s="212"/>
      <c r="AV27" s="96">
        <v>16.2</v>
      </c>
      <c r="AW27" s="212"/>
      <c r="AX27" s="96">
        <v>9.68</v>
      </c>
      <c r="AY27" s="212"/>
      <c r="AZ27" s="96">
        <v>6.48</v>
      </c>
      <c r="BA27" s="212"/>
      <c r="BB27" s="96">
        <v>3.24</v>
      </c>
      <c r="BE27" s="97"/>
      <c r="BF27" s="97"/>
      <c r="BG27" s="97"/>
      <c r="BH27" s="97"/>
    </row>
    <row r="28" spans="1:60" ht="20.100000000000001" customHeight="1" x14ac:dyDescent="0.25">
      <c r="AM28" s="91">
        <v>17</v>
      </c>
      <c r="AN28" s="94">
        <v>0.154</v>
      </c>
      <c r="AO28" s="94">
        <v>9.2100000000000015E-2</v>
      </c>
      <c r="AP28" s="94">
        <v>6.1600000000000002E-2</v>
      </c>
      <c r="AQ28" s="94">
        <v>3.0800000000000001E-2</v>
      </c>
      <c r="AS28" s="212"/>
      <c r="AT28" s="95">
        <v>17</v>
      </c>
      <c r="AU28" s="212"/>
      <c r="AV28" s="96">
        <v>15.399999999999999</v>
      </c>
      <c r="AW28" s="212"/>
      <c r="AX28" s="96">
        <v>9.2100000000000009</v>
      </c>
      <c r="AY28" s="212"/>
      <c r="AZ28" s="96">
        <v>6.16</v>
      </c>
      <c r="BA28" s="212"/>
      <c r="BB28" s="96">
        <v>3.08</v>
      </c>
      <c r="BE28" s="97"/>
      <c r="BF28" s="97"/>
      <c r="BG28" s="97"/>
      <c r="BH28" s="97"/>
    </row>
    <row r="29" spans="1:60" ht="20.100000000000001" customHeight="1" x14ac:dyDescent="0.2">
      <c r="A29" s="99"/>
      <c r="B29" s="99"/>
      <c r="C29" s="99"/>
      <c r="D29" s="99"/>
      <c r="E29" s="99"/>
      <c r="F29" s="99"/>
      <c r="G29" s="99"/>
      <c r="H29" s="99"/>
      <c r="I29" s="99"/>
      <c r="J29" s="99"/>
      <c r="K29" s="99"/>
      <c r="L29" s="99"/>
      <c r="M29" s="99"/>
      <c r="N29" s="99"/>
      <c r="O29" s="99"/>
      <c r="P29" s="99"/>
      <c r="Q29" s="99"/>
      <c r="R29" s="99"/>
      <c r="AM29" s="91">
        <v>18</v>
      </c>
      <c r="AN29" s="94">
        <v>0.14599999999999999</v>
      </c>
      <c r="AO29" s="94">
        <v>8.7400000000000005E-2</v>
      </c>
      <c r="AP29" s="94">
        <v>5.8400000000000001E-2</v>
      </c>
      <c r="AQ29" s="94">
        <v>2.92E-2</v>
      </c>
      <c r="AS29" s="212"/>
      <c r="AT29" s="95">
        <v>18</v>
      </c>
      <c r="AU29" s="212"/>
      <c r="AV29" s="96">
        <v>14.6</v>
      </c>
      <c r="AW29" s="212"/>
      <c r="AX29" s="96">
        <v>8.74</v>
      </c>
      <c r="AY29" s="212"/>
      <c r="AZ29" s="96">
        <v>5.84</v>
      </c>
      <c r="BA29" s="212"/>
      <c r="BB29" s="96">
        <v>2.92</v>
      </c>
      <c r="BE29" s="97"/>
      <c r="BF29" s="97"/>
      <c r="BG29" s="97"/>
      <c r="BH29" s="97"/>
    </row>
    <row r="30" spans="1:60" ht="20.100000000000001" customHeight="1" x14ac:dyDescent="0.25">
      <c r="A30" s="92"/>
      <c r="B30" s="92"/>
      <c r="C30" s="92"/>
      <c r="D30" s="92"/>
      <c r="E30" s="92"/>
      <c r="F30" s="92"/>
      <c r="G30" s="92"/>
      <c r="H30" s="92"/>
      <c r="I30" s="92"/>
      <c r="J30" s="92"/>
      <c r="K30" s="92"/>
      <c r="L30" s="92"/>
      <c r="M30" s="92"/>
      <c r="N30" s="92"/>
      <c r="O30" s="92"/>
      <c r="P30" s="92"/>
      <c r="Q30" s="92"/>
      <c r="R30" s="92"/>
      <c r="AM30" s="91">
        <v>19</v>
      </c>
      <c r="AN30" s="94">
        <v>0.13800000000000001</v>
      </c>
      <c r="AO30" s="94">
        <v>8.2699999999999996E-2</v>
      </c>
      <c r="AP30" s="94">
        <v>5.5200000000000006E-2</v>
      </c>
      <c r="AQ30" s="94">
        <v>2.7600000000000003E-2</v>
      </c>
      <c r="AS30" s="212"/>
      <c r="AT30" s="95">
        <v>19</v>
      </c>
      <c r="AU30" s="212"/>
      <c r="AV30" s="96">
        <v>13.8</v>
      </c>
      <c r="AW30" s="212"/>
      <c r="AX30" s="96">
        <v>8.27</v>
      </c>
      <c r="AY30" s="212"/>
      <c r="AZ30" s="96">
        <v>5.5200000000000005</v>
      </c>
      <c r="BA30" s="212"/>
      <c r="BB30" s="96">
        <v>2.7600000000000002</v>
      </c>
      <c r="BE30" s="97"/>
      <c r="BF30" s="97"/>
      <c r="BG30" s="97"/>
      <c r="BH30" s="97"/>
    </row>
    <row r="31" spans="1:60" ht="20.100000000000001" customHeight="1" x14ac:dyDescent="0.25">
      <c r="A31" s="92"/>
      <c r="B31" s="92"/>
      <c r="C31" s="92"/>
      <c r="D31" s="92"/>
      <c r="E31" s="92"/>
      <c r="F31" s="92"/>
      <c r="G31" s="92"/>
      <c r="H31" s="92"/>
      <c r="I31" s="92"/>
      <c r="J31" s="92"/>
      <c r="K31" s="92"/>
      <c r="L31" s="92"/>
      <c r="M31" s="92"/>
      <c r="N31" s="92"/>
      <c r="O31" s="92"/>
      <c r="P31" s="92"/>
      <c r="Q31" s="92"/>
      <c r="R31" s="92"/>
      <c r="AM31" s="91">
        <v>20</v>
      </c>
      <c r="AN31" s="94">
        <v>0.13</v>
      </c>
      <c r="AO31" s="94">
        <v>7.8E-2</v>
      </c>
      <c r="AP31" s="94">
        <v>5.2000000000000005E-2</v>
      </c>
      <c r="AQ31" s="94">
        <v>2.6000000000000002E-2</v>
      </c>
      <c r="AS31" s="212"/>
      <c r="AT31" s="95">
        <v>20</v>
      </c>
      <c r="AU31" s="212"/>
      <c r="AV31" s="96">
        <v>13</v>
      </c>
      <c r="AW31" s="212"/>
      <c r="AX31" s="96">
        <v>7.8</v>
      </c>
      <c r="AY31" s="212"/>
      <c r="AZ31" s="96">
        <v>5.2</v>
      </c>
      <c r="BA31" s="212"/>
      <c r="BB31" s="96">
        <v>2.6</v>
      </c>
      <c r="BE31" s="97"/>
      <c r="BF31" s="97"/>
      <c r="BG31" s="97"/>
      <c r="BH31" s="97"/>
    </row>
    <row r="32" spans="1:60" ht="20.100000000000001" customHeight="1" x14ac:dyDescent="0.25">
      <c r="A32" s="92"/>
      <c r="B32" s="92"/>
      <c r="C32" s="92"/>
      <c r="D32" s="92"/>
      <c r="E32" s="92"/>
      <c r="F32" s="92"/>
      <c r="G32" s="92"/>
      <c r="H32" s="92"/>
      <c r="I32" s="92"/>
      <c r="J32" s="92"/>
      <c r="K32" s="92"/>
      <c r="L32" s="92"/>
      <c r="M32" s="92"/>
      <c r="N32" s="92"/>
      <c r="O32" s="92"/>
      <c r="P32" s="92"/>
      <c r="Q32" s="92"/>
      <c r="R32" s="92"/>
      <c r="AM32" s="91">
        <v>21</v>
      </c>
      <c r="AN32" s="94">
        <v>0.11699999999999999</v>
      </c>
      <c r="AO32" s="94">
        <v>7.0199999999999999E-2</v>
      </c>
      <c r="AP32" s="94">
        <v>4.6799999999999994E-2</v>
      </c>
      <c r="AQ32" s="94">
        <v>2.3399999999999997E-2</v>
      </c>
      <c r="AS32" s="212"/>
      <c r="AT32" s="95">
        <v>21</v>
      </c>
      <c r="AU32" s="212"/>
      <c r="AV32" s="96">
        <v>11.7</v>
      </c>
      <c r="AW32" s="212">
        <v>39</v>
      </c>
      <c r="AX32" s="96">
        <v>7.02</v>
      </c>
      <c r="AY32" s="212">
        <v>-11.7</v>
      </c>
      <c r="AZ32" s="96">
        <v>4.68</v>
      </c>
      <c r="BA32" s="212">
        <v>54.21</v>
      </c>
      <c r="BB32" s="96">
        <v>2.34</v>
      </c>
      <c r="BE32" s="97"/>
      <c r="BF32" s="97"/>
      <c r="BG32" s="97"/>
      <c r="BH32" s="97"/>
    </row>
    <row r="33" spans="1:60" ht="20.100000000000001" customHeight="1" x14ac:dyDescent="0.25">
      <c r="A33" s="92"/>
      <c r="B33" s="92"/>
      <c r="C33" s="92"/>
      <c r="D33" s="92"/>
      <c r="E33" s="92"/>
      <c r="F33" s="92"/>
      <c r="G33" s="92"/>
      <c r="H33" s="92"/>
      <c r="I33" s="92"/>
      <c r="J33" s="92"/>
      <c r="K33" s="92"/>
      <c r="L33" s="92"/>
      <c r="M33" s="92"/>
      <c r="N33" s="92"/>
      <c r="O33" s="92"/>
      <c r="P33" s="92"/>
      <c r="Q33" s="92"/>
      <c r="R33" s="92"/>
      <c r="AM33" s="91">
        <v>22</v>
      </c>
      <c r="AN33" s="94">
        <v>0.10400000000000001</v>
      </c>
      <c r="AO33" s="94">
        <v>6.2400000000000004E-2</v>
      </c>
      <c r="AP33" s="94">
        <v>4.1599999999999998E-2</v>
      </c>
      <c r="AQ33" s="94">
        <v>2.0799999999999999E-2</v>
      </c>
      <c r="AS33" s="212"/>
      <c r="AT33" s="95">
        <v>22</v>
      </c>
      <c r="AU33" s="212"/>
      <c r="AV33" s="96">
        <v>10.4</v>
      </c>
      <c r="AW33" s="212"/>
      <c r="AX33" s="96">
        <v>6.24</v>
      </c>
      <c r="AY33" s="212"/>
      <c r="AZ33" s="96">
        <v>4.16</v>
      </c>
      <c r="BA33" s="212"/>
      <c r="BB33" s="96">
        <v>2.08</v>
      </c>
      <c r="BE33" s="97"/>
      <c r="BF33" s="97"/>
      <c r="BG33" s="97"/>
      <c r="BH33" s="97"/>
    </row>
    <row r="34" spans="1:60" ht="20.100000000000001" customHeight="1" x14ac:dyDescent="0.25">
      <c r="A34" s="92"/>
      <c r="B34" s="92"/>
      <c r="C34" s="92"/>
      <c r="D34" s="92"/>
      <c r="E34" s="92"/>
      <c r="F34" s="92"/>
      <c r="G34" s="92"/>
      <c r="H34" s="92"/>
      <c r="I34" s="92"/>
      <c r="J34" s="92"/>
      <c r="K34" s="92"/>
      <c r="L34" s="92"/>
      <c r="M34" s="92"/>
      <c r="N34" s="92"/>
      <c r="O34" s="92"/>
      <c r="P34" s="92"/>
      <c r="Q34" s="92"/>
      <c r="R34" s="92"/>
      <c r="AM34" s="91">
        <v>23</v>
      </c>
      <c r="AN34" s="94">
        <v>9.0999999999999998E-2</v>
      </c>
      <c r="AO34" s="94">
        <v>5.4600000000000003E-2</v>
      </c>
      <c r="AP34" s="94">
        <v>3.6400000000000002E-2</v>
      </c>
      <c r="AQ34" s="94">
        <v>1.8200000000000001E-2</v>
      </c>
      <c r="AS34" s="212"/>
      <c r="AT34" s="95">
        <v>23</v>
      </c>
      <c r="AU34" s="212"/>
      <c r="AV34" s="96">
        <v>9.1</v>
      </c>
      <c r="AW34" s="212"/>
      <c r="AX34" s="96">
        <v>5.46</v>
      </c>
      <c r="AY34" s="212"/>
      <c r="AZ34" s="96">
        <v>3.64</v>
      </c>
      <c r="BA34" s="212"/>
      <c r="BB34" s="96">
        <v>1.82</v>
      </c>
      <c r="BE34" s="97"/>
      <c r="BF34" s="97"/>
      <c r="BG34" s="97"/>
      <c r="BH34" s="97"/>
    </row>
    <row r="35" spans="1:60" ht="20.100000000000001" customHeight="1" x14ac:dyDescent="0.25">
      <c r="A35" s="92"/>
      <c r="B35" s="92"/>
      <c r="C35" s="92"/>
      <c r="D35" s="92"/>
      <c r="E35" s="92"/>
      <c r="F35" s="92"/>
      <c r="G35" s="92"/>
      <c r="H35" s="92"/>
      <c r="I35" s="92"/>
      <c r="J35" s="92"/>
      <c r="K35" s="92"/>
      <c r="L35" s="92"/>
      <c r="M35" s="92"/>
      <c r="N35" s="92"/>
      <c r="O35" s="92"/>
      <c r="P35" s="92"/>
      <c r="Q35" s="92"/>
      <c r="R35" s="92"/>
      <c r="AM35" s="91">
        <v>24</v>
      </c>
      <c r="AN35" s="94">
        <v>7.8E-2</v>
      </c>
      <c r="AO35" s="94">
        <v>4.6799999999999994E-2</v>
      </c>
      <c r="AP35" s="94">
        <v>3.1200000000000002E-2</v>
      </c>
      <c r="AQ35" s="94">
        <v>1.5600000000000001E-2</v>
      </c>
      <c r="AS35" s="212"/>
      <c r="AT35" s="95">
        <v>24</v>
      </c>
      <c r="AU35" s="212"/>
      <c r="AV35" s="96">
        <v>7.8</v>
      </c>
      <c r="AW35" s="212"/>
      <c r="AX35" s="96">
        <v>4.68</v>
      </c>
      <c r="AY35" s="212"/>
      <c r="AZ35" s="96">
        <v>3.12</v>
      </c>
      <c r="BA35" s="212"/>
      <c r="BB35" s="96">
        <v>1.56</v>
      </c>
      <c r="BE35" s="97"/>
      <c r="BF35" s="97"/>
      <c r="BG35" s="97"/>
      <c r="BH35" s="97"/>
    </row>
    <row r="36" spans="1:60" ht="20.100000000000001" customHeight="1" x14ac:dyDescent="0.25">
      <c r="A36" s="92"/>
      <c r="B36" s="92"/>
      <c r="C36" s="92"/>
      <c r="D36" s="92"/>
      <c r="E36" s="92"/>
      <c r="F36" s="92"/>
      <c r="G36" s="92"/>
      <c r="H36" s="92"/>
      <c r="I36" s="92"/>
      <c r="J36" s="92"/>
      <c r="K36" s="92"/>
      <c r="L36" s="92"/>
      <c r="M36" s="92"/>
      <c r="N36" s="92"/>
      <c r="O36" s="92"/>
      <c r="P36" s="92"/>
      <c r="Q36" s="92"/>
      <c r="R36" s="92"/>
      <c r="AM36" s="91">
        <v>25</v>
      </c>
      <c r="AN36" s="94">
        <v>6.5000000000000002E-2</v>
      </c>
      <c r="AO36" s="94">
        <v>3.9E-2</v>
      </c>
      <c r="AP36" s="94">
        <v>2.6000000000000002E-2</v>
      </c>
      <c r="AQ36" s="94">
        <v>1.3000000000000001E-2</v>
      </c>
      <c r="AS36" s="212"/>
      <c r="AT36" s="95">
        <v>25</v>
      </c>
      <c r="AU36" s="212"/>
      <c r="AV36" s="96">
        <v>6.5</v>
      </c>
      <c r="AW36" s="212"/>
      <c r="AX36" s="96">
        <v>3.9</v>
      </c>
      <c r="AY36" s="212"/>
      <c r="AZ36" s="96">
        <v>2.6</v>
      </c>
      <c r="BA36" s="212"/>
      <c r="BB36" s="96">
        <v>1.3</v>
      </c>
      <c r="BE36" s="97"/>
      <c r="BF36" s="97"/>
      <c r="BG36" s="97"/>
      <c r="BH36" s="97"/>
    </row>
    <row r="37" spans="1:60" ht="20.100000000000001" customHeight="1" x14ac:dyDescent="0.25">
      <c r="A37" s="92"/>
      <c r="B37" s="92"/>
      <c r="C37" s="92"/>
      <c r="D37" s="92"/>
      <c r="E37" s="92"/>
      <c r="F37" s="92"/>
      <c r="G37" s="92"/>
      <c r="H37" s="92"/>
      <c r="I37" s="92"/>
      <c r="J37" s="92"/>
      <c r="K37" s="92"/>
      <c r="L37" s="92"/>
      <c r="M37" s="92"/>
      <c r="N37" s="92"/>
      <c r="O37" s="92"/>
      <c r="P37" s="92"/>
      <c r="Q37" s="92"/>
      <c r="R37" s="92"/>
      <c r="AM37" s="91">
        <v>26</v>
      </c>
      <c r="AN37" s="94">
        <v>5.1999999999999991E-2</v>
      </c>
      <c r="AO37" s="94">
        <v>3.1200000000000002E-2</v>
      </c>
      <c r="AP37" s="94">
        <v>2.0799999999999999E-2</v>
      </c>
      <c r="AQ37" s="94">
        <v>1.04E-2</v>
      </c>
      <c r="AS37" s="212"/>
      <c r="AT37" s="95">
        <v>26</v>
      </c>
      <c r="AU37" s="212"/>
      <c r="AV37" s="96">
        <v>5.1999999999999993</v>
      </c>
      <c r="AW37" s="212"/>
      <c r="AX37" s="96">
        <v>3.12</v>
      </c>
      <c r="AY37" s="212"/>
      <c r="AZ37" s="96">
        <v>2.08</v>
      </c>
      <c r="BA37" s="212"/>
      <c r="BB37" s="96">
        <v>1.04</v>
      </c>
      <c r="BE37" s="97"/>
      <c r="BF37" s="97"/>
      <c r="BG37" s="97"/>
      <c r="BH37" s="97"/>
    </row>
    <row r="38" spans="1:60" ht="20.100000000000001" customHeight="1" x14ac:dyDescent="0.25">
      <c r="A38" s="92"/>
      <c r="B38" s="92"/>
      <c r="C38" s="92"/>
      <c r="D38" s="92"/>
      <c r="E38" s="92"/>
      <c r="F38" s="92"/>
      <c r="G38" s="92"/>
      <c r="H38" s="92"/>
      <c r="I38" s="92"/>
      <c r="J38" s="92"/>
      <c r="K38" s="92"/>
      <c r="L38" s="92"/>
      <c r="M38" s="92"/>
      <c r="N38" s="92"/>
      <c r="O38" s="92"/>
      <c r="P38" s="92"/>
      <c r="Q38" s="92"/>
      <c r="R38" s="92"/>
      <c r="AM38" s="91">
        <v>27</v>
      </c>
      <c r="AN38" s="94">
        <v>3.9000000000000007E-2</v>
      </c>
      <c r="AO38" s="94">
        <v>2.3399999999999997E-2</v>
      </c>
      <c r="AP38" s="94">
        <v>1.5600000000000004E-2</v>
      </c>
      <c r="AQ38" s="94">
        <v>7.8000000000000022E-3</v>
      </c>
      <c r="AS38" s="212"/>
      <c r="AT38" s="95">
        <v>27</v>
      </c>
      <c r="AU38" s="212"/>
      <c r="AV38" s="96">
        <v>3.9000000000000004</v>
      </c>
      <c r="AW38" s="212"/>
      <c r="AX38" s="96">
        <v>2.34</v>
      </c>
      <c r="AY38" s="212"/>
      <c r="AZ38" s="96">
        <v>1.5600000000000005</v>
      </c>
      <c r="BA38" s="212"/>
      <c r="BB38" s="96">
        <v>0.78000000000000025</v>
      </c>
      <c r="BE38" s="97"/>
      <c r="BF38" s="97"/>
      <c r="BG38" s="97"/>
      <c r="BH38" s="97"/>
    </row>
    <row r="39" spans="1:60" ht="20.100000000000001" customHeight="1" x14ac:dyDescent="0.25">
      <c r="A39" s="92"/>
      <c r="B39" s="92"/>
      <c r="C39" s="92"/>
      <c r="D39" s="92"/>
      <c r="E39" s="92"/>
      <c r="F39" s="92"/>
      <c r="G39" s="92"/>
      <c r="H39" s="92"/>
      <c r="I39" s="92"/>
      <c r="J39" s="92"/>
      <c r="K39" s="92"/>
      <c r="L39" s="92"/>
      <c r="M39" s="92"/>
      <c r="N39" s="92"/>
      <c r="O39" s="92"/>
      <c r="P39" s="92"/>
      <c r="Q39" s="92"/>
      <c r="R39" s="92"/>
      <c r="AM39" s="91">
        <v>28</v>
      </c>
      <c r="AN39" s="94">
        <v>2.5999999999999995E-2</v>
      </c>
      <c r="AO39" s="94">
        <v>1.5599999999999996E-2</v>
      </c>
      <c r="AP39" s="94">
        <v>1.04E-2</v>
      </c>
      <c r="AQ39" s="94">
        <v>5.1999999999999998E-3</v>
      </c>
      <c r="AS39" s="212"/>
      <c r="AT39" s="95">
        <v>28</v>
      </c>
      <c r="AU39" s="212"/>
      <c r="AV39" s="96">
        <v>2.5999999999999996</v>
      </c>
      <c r="AW39" s="212"/>
      <c r="AX39" s="96">
        <v>1.5599999999999996</v>
      </c>
      <c r="AY39" s="212"/>
      <c r="AZ39" s="96">
        <v>1.04</v>
      </c>
      <c r="BA39" s="212"/>
      <c r="BB39" s="96">
        <v>0.52</v>
      </c>
      <c r="BE39" s="97"/>
      <c r="BF39" s="97"/>
      <c r="BG39" s="97"/>
      <c r="BH39" s="97"/>
    </row>
    <row r="40" spans="1:60" ht="20.100000000000001" customHeight="1" x14ac:dyDescent="0.25">
      <c r="A40" s="92"/>
      <c r="B40" s="92"/>
      <c r="C40" s="92"/>
      <c r="D40" s="92"/>
      <c r="E40" s="92"/>
      <c r="F40" s="92"/>
      <c r="G40" s="92"/>
      <c r="H40" s="92"/>
      <c r="I40" s="92"/>
      <c r="J40" s="92"/>
      <c r="K40" s="92"/>
      <c r="L40" s="92"/>
      <c r="M40" s="92"/>
      <c r="N40" s="92"/>
      <c r="O40" s="92"/>
      <c r="P40" s="92"/>
      <c r="Q40" s="92"/>
      <c r="R40" s="92"/>
      <c r="AM40" s="91">
        <v>29</v>
      </c>
      <c r="AN40" s="94">
        <v>1.2999999999999989E-2</v>
      </c>
      <c r="AO40" s="94">
        <v>7.7999999999999936E-3</v>
      </c>
      <c r="AP40" s="94">
        <v>5.1999999999999954E-3</v>
      </c>
      <c r="AQ40" s="94">
        <v>2.5999999999999977E-3</v>
      </c>
      <c r="AS40" s="212"/>
      <c r="AT40" s="95">
        <v>29</v>
      </c>
      <c r="AU40" s="212"/>
      <c r="AV40" s="96">
        <v>1.2999999999999989</v>
      </c>
      <c r="AW40" s="212"/>
      <c r="AX40" s="96">
        <v>0.77999999999999936</v>
      </c>
      <c r="AY40" s="212"/>
      <c r="AZ40" s="96">
        <v>0.51999999999999957</v>
      </c>
      <c r="BA40" s="212"/>
      <c r="BB40" s="96">
        <v>0.25999999999999979</v>
      </c>
      <c r="BE40" s="97"/>
      <c r="BF40" s="97"/>
      <c r="BG40" s="97"/>
      <c r="BH40" s="97"/>
    </row>
    <row r="41" spans="1:60" ht="20.100000000000001" customHeight="1" x14ac:dyDescent="0.25">
      <c r="A41" s="92"/>
      <c r="B41" s="92"/>
      <c r="C41" s="92"/>
      <c r="D41" s="92"/>
      <c r="E41" s="92"/>
      <c r="F41" s="92"/>
      <c r="G41" s="92"/>
      <c r="H41" s="92"/>
      <c r="I41" s="92"/>
      <c r="J41" s="92"/>
      <c r="K41" s="92"/>
      <c r="L41" s="92"/>
      <c r="M41" s="92"/>
      <c r="N41" s="92"/>
      <c r="O41" s="92"/>
      <c r="P41" s="92"/>
      <c r="Q41" s="92"/>
      <c r="R41" s="92"/>
      <c r="AM41" s="91">
        <v>30</v>
      </c>
      <c r="AN41" s="94">
        <v>0</v>
      </c>
      <c r="AO41" s="94">
        <v>0</v>
      </c>
      <c r="AP41" s="94">
        <v>0</v>
      </c>
      <c r="AQ41" s="94">
        <v>0</v>
      </c>
      <c r="AS41" s="212"/>
      <c r="AT41" s="95">
        <v>30</v>
      </c>
      <c r="AU41" s="212"/>
      <c r="AV41" s="96">
        <v>0</v>
      </c>
      <c r="AW41" s="212"/>
      <c r="AX41" s="96">
        <v>0</v>
      </c>
      <c r="AY41" s="212"/>
      <c r="AZ41" s="96">
        <v>0</v>
      </c>
      <c r="BA41" s="212"/>
      <c r="BB41" s="96">
        <v>0</v>
      </c>
      <c r="BE41" s="97"/>
      <c r="BF41" s="97"/>
      <c r="BG41" s="97"/>
      <c r="BH41" s="97"/>
    </row>
    <row r="42" spans="1:60" ht="20.100000000000001" customHeight="1" x14ac:dyDescent="0.25">
      <c r="A42" s="92"/>
      <c r="B42" s="92"/>
      <c r="C42" s="92"/>
      <c r="D42" s="92"/>
      <c r="E42" s="92"/>
      <c r="F42" s="92"/>
      <c r="G42" s="92"/>
      <c r="H42" s="92"/>
      <c r="I42" s="92"/>
      <c r="J42" s="92"/>
      <c r="K42" s="92"/>
      <c r="L42" s="92"/>
      <c r="M42" s="92"/>
      <c r="N42" s="92"/>
      <c r="O42" s="92"/>
      <c r="P42" s="92"/>
      <c r="Q42" s="92"/>
      <c r="R42" s="92"/>
      <c r="AM42" s="91">
        <v>31</v>
      </c>
      <c r="AN42" s="94">
        <v>0</v>
      </c>
      <c r="AO42" s="94">
        <v>0</v>
      </c>
      <c r="AP42" s="94">
        <v>0</v>
      </c>
      <c r="AQ42" s="94">
        <v>0</v>
      </c>
    </row>
    <row r="43" spans="1:60" ht="20.100000000000001" customHeight="1" x14ac:dyDescent="0.25">
      <c r="A43" s="92"/>
      <c r="B43" s="92"/>
      <c r="C43" s="92"/>
      <c r="D43" s="92"/>
      <c r="E43" s="92"/>
      <c r="F43" s="92"/>
      <c r="G43" s="92"/>
      <c r="H43" s="92"/>
      <c r="I43" s="92"/>
      <c r="J43" s="92"/>
      <c r="K43" s="92"/>
      <c r="L43" s="92"/>
      <c r="M43" s="92"/>
      <c r="N43" s="92"/>
      <c r="O43" s="92"/>
      <c r="P43" s="92"/>
      <c r="Q43" s="92"/>
      <c r="R43" s="92"/>
      <c r="AM43" s="91">
        <v>32</v>
      </c>
      <c r="AN43" s="94">
        <v>0</v>
      </c>
      <c r="AO43" s="94">
        <v>0</v>
      </c>
      <c r="AP43" s="94">
        <v>0</v>
      </c>
      <c r="AQ43" s="94">
        <v>0</v>
      </c>
    </row>
    <row r="44" spans="1:60" ht="20.100000000000001" customHeight="1" x14ac:dyDescent="0.25">
      <c r="A44" s="92"/>
      <c r="B44" s="92"/>
      <c r="C44" s="92"/>
      <c r="D44" s="92"/>
      <c r="E44" s="92"/>
      <c r="F44" s="92"/>
      <c r="G44" s="92"/>
      <c r="H44" s="92"/>
      <c r="I44" s="92"/>
      <c r="J44" s="92"/>
      <c r="K44" s="92"/>
      <c r="L44" s="92"/>
      <c r="M44" s="92"/>
      <c r="N44" s="92"/>
      <c r="O44" s="92"/>
      <c r="P44" s="92"/>
      <c r="Q44" s="92"/>
      <c r="R44" s="92"/>
      <c r="AM44" s="91">
        <v>33</v>
      </c>
      <c r="AN44" s="94">
        <v>0</v>
      </c>
      <c r="AO44" s="94">
        <v>0</v>
      </c>
      <c r="AP44" s="94">
        <v>0</v>
      </c>
      <c r="AQ44" s="94">
        <v>0</v>
      </c>
    </row>
    <row r="45" spans="1:60" ht="20.100000000000001" customHeight="1" x14ac:dyDescent="0.25">
      <c r="AM45" s="91">
        <v>34</v>
      </c>
      <c r="AN45" s="94">
        <v>0</v>
      </c>
      <c r="AO45" s="94">
        <v>0</v>
      </c>
      <c r="AP45" s="94">
        <v>0</v>
      </c>
      <c r="AQ45" s="94">
        <v>0</v>
      </c>
    </row>
    <row r="46" spans="1:60" ht="20.100000000000001" customHeight="1" x14ac:dyDescent="0.25">
      <c r="AM46" s="91">
        <v>35</v>
      </c>
      <c r="AN46" s="94">
        <v>0</v>
      </c>
      <c r="AO46" s="94">
        <v>0</v>
      </c>
      <c r="AP46" s="94">
        <v>0</v>
      </c>
      <c r="AQ46" s="94">
        <v>0</v>
      </c>
    </row>
    <row r="47" spans="1:60" ht="20.100000000000001" customHeight="1" x14ac:dyDescent="0.25">
      <c r="AM47" s="91">
        <v>36</v>
      </c>
      <c r="AN47" s="94">
        <v>0</v>
      </c>
      <c r="AO47" s="94">
        <v>0</v>
      </c>
      <c r="AP47" s="94">
        <v>0</v>
      </c>
      <c r="AQ47" s="94">
        <v>0</v>
      </c>
    </row>
    <row r="48" spans="1:60" ht="20.100000000000001" customHeight="1" x14ac:dyDescent="0.25">
      <c r="AM48" s="91">
        <v>37</v>
      </c>
      <c r="AN48" s="94">
        <v>0</v>
      </c>
      <c r="AO48" s="94">
        <v>0</v>
      </c>
      <c r="AP48" s="94">
        <v>0</v>
      </c>
      <c r="AQ48" s="94">
        <v>0</v>
      </c>
    </row>
    <row r="49" spans="39:43" ht="20.100000000000001" customHeight="1" x14ac:dyDescent="0.25">
      <c r="AM49" s="91">
        <v>38</v>
      </c>
      <c r="AN49" s="94">
        <v>0</v>
      </c>
      <c r="AO49" s="94">
        <v>0</v>
      </c>
      <c r="AP49" s="94">
        <v>0</v>
      </c>
      <c r="AQ49" s="94">
        <v>0</v>
      </c>
    </row>
    <row r="50" spans="39:43" ht="20.100000000000001" customHeight="1" x14ac:dyDescent="0.25">
      <c r="AM50" s="91">
        <v>39</v>
      </c>
      <c r="AN50" s="94">
        <v>0</v>
      </c>
      <c r="AO50" s="94">
        <v>0</v>
      </c>
      <c r="AP50" s="94">
        <v>0</v>
      </c>
      <c r="AQ50" s="94">
        <v>0</v>
      </c>
    </row>
    <row r="51" spans="39:43" ht="20.100000000000001" customHeight="1" x14ac:dyDescent="0.25">
      <c r="AM51" s="91">
        <v>40</v>
      </c>
      <c r="AN51" s="94">
        <v>0</v>
      </c>
      <c r="AO51" s="94">
        <v>0</v>
      </c>
      <c r="AP51" s="94">
        <v>0</v>
      </c>
      <c r="AQ51" s="94">
        <v>0</v>
      </c>
    </row>
    <row r="52" spans="39:43" ht="20.100000000000001" customHeight="1" x14ac:dyDescent="0.25">
      <c r="AM52" s="91">
        <v>41</v>
      </c>
      <c r="AN52" s="94">
        <v>0</v>
      </c>
      <c r="AO52" s="94">
        <v>0</v>
      </c>
      <c r="AP52" s="94">
        <v>0</v>
      </c>
      <c r="AQ52" s="94">
        <v>0</v>
      </c>
    </row>
    <row r="53" spans="39:43" ht="20.100000000000001" customHeight="1" x14ac:dyDescent="0.25">
      <c r="AM53" s="91">
        <v>42</v>
      </c>
      <c r="AN53" s="94">
        <v>0</v>
      </c>
      <c r="AO53" s="94">
        <v>0</v>
      </c>
      <c r="AP53" s="94">
        <v>0</v>
      </c>
      <c r="AQ53" s="94">
        <v>0</v>
      </c>
    </row>
    <row r="54" spans="39:43" ht="20.100000000000001" customHeight="1" x14ac:dyDescent="0.25">
      <c r="AM54" s="91">
        <v>43</v>
      </c>
      <c r="AN54" s="94">
        <v>0</v>
      </c>
      <c r="AO54" s="94">
        <v>0</v>
      </c>
      <c r="AP54" s="94">
        <v>0</v>
      </c>
      <c r="AQ54" s="94">
        <v>0</v>
      </c>
    </row>
    <row r="55" spans="39:43" ht="20.100000000000001" customHeight="1" x14ac:dyDescent="0.25">
      <c r="AM55" s="91">
        <v>44</v>
      </c>
      <c r="AN55" s="94">
        <v>0</v>
      </c>
      <c r="AO55" s="94">
        <v>0</v>
      </c>
      <c r="AP55" s="94">
        <v>0</v>
      </c>
      <c r="AQ55" s="94">
        <v>0</v>
      </c>
    </row>
    <row r="56" spans="39:43" ht="20.100000000000001" customHeight="1" x14ac:dyDescent="0.25">
      <c r="AM56" s="91">
        <v>45</v>
      </c>
      <c r="AN56" s="94">
        <v>0</v>
      </c>
      <c r="AO56" s="94">
        <v>0</v>
      </c>
      <c r="AP56" s="94">
        <v>0</v>
      </c>
      <c r="AQ56" s="94">
        <v>0</v>
      </c>
    </row>
    <row r="57" spans="39:43" ht="20.100000000000001" customHeight="1" x14ac:dyDescent="0.25">
      <c r="AM57" s="91">
        <v>46</v>
      </c>
      <c r="AN57" s="94">
        <v>0</v>
      </c>
      <c r="AO57" s="94">
        <v>0</v>
      </c>
      <c r="AP57" s="94">
        <v>0</v>
      </c>
      <c r="AQ57" s="94">
        <v>0</v>
      </c>
    </row>
    <row r="58" spans="39:43" ht="20.100000000000001" customHeight="1" x14ac:dyDescent="0.25">
      <c r="AM58" s="91">
        <v>47</v>
      </c>
      <c r="AN58" s="94">
        <v>0</v>
      </c>
      <c r="AO58" s="94">
        <v>0</v>
      </c>
      <c r="AP58" s="94">
        <v>0</v>
      </c>
      <c r="AQ58" s="94">
        <v>0</v>
      </c>
    </row>
    <row r="59" spans="39:43" ht="20.100000000000001" customHeight="1" x14ac:dyDescent="0.25">
      <c r="AM59" s="91">
        <v>48</v>
      </c>
      <c r="AN59" s="94">
        <v>0</v>
      </c>
      <c r="AO59" s="94">
        <v>0</v>
      </c>
      <c r="AP59" s="94">
        <v>0</v>
      </c>
      <c r="AQ59" s="94">
        <v>0</v>
      </c>
    </row>
    <row r="60" spans="39:43" ht="20.100000000000001" customHeight="1" x14ac:dyDescent="0.25">
      <c r="AM60" s="91">
        <v>49</v>
      </c>
      <c r="AN60" s="94">
        <v>0</v>
      </c>
      <c r="AO60" s="94">
        <v>0</v>
      </c>
      <c r="AP60" s="94">
        <v>0</v>
      </c>
      <c r="AQ60" s="94">
        <v>0</v>
      </c>
    </row>
    <row r="61" spans="39:43" ht="20.100000000000001" customHeight="1" x14ac:dyDescent="0.25">
      <c r="AM61" s="91">
        <v>50</v>
      </c>
      <c r="AN61" s="94">
        <v>0</v>
      </c>
      <c r="AO61" s="94">
        <v>0</v>
      </c>
      <c r="AP61" s="94">
        <v>0</v>
      </c>
      <c r="AQ61" s="94">
        <v>0</v>
      </c>
    </row>
    <row r="62" spans="39:43" ht="20.100000000000001" customHeight="1" x14ac:dyDescent="0.25">
      <c r="AM62" s="91">
        <v>51</v>
      </c>
      <c r="AN62" s="94">
        <v>0</v>
      </c>
      <c r="AO62" s="94">
        <v>0</v>
      </c>
      <c r="AP62" s="94">
        <v>0</v>
      </c>
      <c r="AQ62" s="94">
        <v>0</v>
      </c>
    </row>
    <row r="63" spans="39:43" ht="20.100000000000001" customHeight="1" x14ac:dyDescent="0.25">
      <c r="AM63" s="91">
        <v>52</v>
      </c>
      <c r="AN63" s="94">
        <v>0</v>
      </c>
      <c r="AO63" s="94">
        <v>0</v>
      </c>
      <c r="AP63" s="94">
        <v>0</v>
      </c>
      <c r="AQ63" s="94">
        <v>0</v>
      </c>
    </row>
    <row r="64" spans="39:43" ht="20.100000000000001" customHeight="1" x14ac:dyDescent="0.25">
      <c r="AM64" s="91">
        <v>53</v>
      </c>
      <c r="AN64" s="94">
        <v>0</v>
      </c>
      <c r="AO64" s="94">
        <v>0</v>
      </c>
      <c r="AP64" s="94">
        <v>0</v>
      </c>
      <c r="AQ64" s="94">
        <v>0</v>
      </c>
    </row>
    <row r="65" spans="39:43" ht="20.100000000000001" customHeight="1" x14ac:dyDescent="0.25">
      <c r="AM65" s="91">
        <v>54</v>
      </c>
      <c r="AN65" s="94">
        <v>0</v>
      </c>
      <c r="AO65" s="94">
        <v>0</v>
      </c>
      <c r="AP65" s="94">
        <v>0</v>
      </c>
      <c r="AQ65" s="94">
        <v>0</v>
      </c>
    </row>
    <row r="66" spans="39:43" ht="20.100000000000001" customHeight="1" x14ac:dyDescent="0.25">
      <c r="AM66" s="91">
        <v>55</v>
      </c>
      <c r="AN66" s="94">
        <v>0</v>
      </c>
      <c r="AO66" s="94">
        <v>0</v>
      </c>
      <c r="AP66" s="94">
        <v>0</v>
      </c>
      <c r="AQ66" s="94">
        <v>0</v>
      </c>
    </row>
    <row r="67" spans="39:43" ht="20.100000000000001" customHeight="1" x14ac:dyDescent="0.25">
      <c r="AM67" s="91">
        <v>56</v>
      </c>
      <c r="AN67" s="94">
        <v>0</v>
      </c>
      <c r="AO67" s="94">
        <v>0</v>
      </c>
      <c r="AP67" s="94">
        <v>0</v>
      </c>
      <c r="AQ67" s="94">
        <v>0</v>
      </c>
    </row>
    <row r="68" spans="39:43" ht="20.100000000000001" customHeight="1" x14ac:dyDescent="0.25">
      <c r="AM68" s="91">
        <v>57</v>
      </c>
      <c r="AN68" s="94">
        <v>0</v>
      </c>
      <c r="AO68" s="94">
        <v>0</v>
      </c>
      <c r="AP68" s="94">
        <v>0</v>
      </c>
      <c r="AQ68" s="94">
        <v>0</v>
      </c>
    </row>
    <row r="69" spans="39:43" ht="20.100000000000001" customHeight="1" x14ac:dyDescent="0.25">
      <c r="AM69" s="91">
        <v>58</v>
      </c>
      <c r="AN69" s="94">
        <v>0</v>
      </c>
      <c r="AO69" s="94">
        <v>0</v>
      </c>
      <c r="AP69" s="94">
        <v>0</v>
      </c>
      <c r="AQ69" s="94">
        <v>0</v>
      </c>
    </row>
    <row r="70" spans="39:43" ht="20.100000000000001" customHeight="1" x14ac:dyDescent="0.25">
      <c r="AM70" s="91">
        <v>59</v>
      </c>
      <c r="AN70" s="94">
        <v>0</v>
      </c>
      <c r="AO70" s="94">
        <v>0</v>
      </c>
      <c r="AP70" s="94">
        <v>0</v>
      </c>
      <c r="AQ70" s="94">
        <v>0</v>
      </c>
    </row>
    <row r="71" spans="39:43" ht="20.100000000000001" customHeight="1" x14ac:dyDescent="0.25">
      <c r="AM71" s="91">
        <v>60</v>
      </c>
      <c r="AN71" s="94">
        <v>0</v>
      </c>
      <c r="AO71" s="94">
        <v>0</v>
      </c>
      <c r="AP71" s="94">
        <v>0</v>
      </c>
      <c r="AQ71" s="94">
        <v>0</v>
      </c>
    </row>
    <row r="72" spans="39:43" ht="20.100000000000001" customHeight="1" x14ac:dyDescent="0.25">
      <c r="AM72" s="91">
        <v>61</v>
      </c>
      <c r="AN72" s="94">
        <v>0</v>
      </c>
      <c r="AO72" s="94">
        <v>0</v>
      </c>
      <c r="AP72" s="94">
        <v>0</v>
      </c>
      <c r="AQ72" s="94">
        <v>0</v>
      </c>
    </row>
    <row r="73" spans="39:43" ht="20.100000000000001" customHeight="1" x14ac:dyDescent="0.25">
      <c r="AM73" s="91">
        <v>62</v>
      </c>
      <c r="AN73" s="94">
        <v>0</v>
      </c>
      <c r="AO73" s="94">
        <v>0</v>
      </c>
      <c r="AP73" s="94">
        <v>0</v>
      </c>
      <c r="AQ73" s="94">
        <v>0</v>
      </c>
    </row>
    <row r="74" spans="39:43" ht="20.100000000000001" customHeight="1" x14ac:dyDescent="0.25">
      <c r="AM74" s="91">
        <v>63</v>
      </c>
      <c r="AN74" s="94">
        <v>0</v>
      </c>
      <c r="AO74" s="94">
        <v>0</v>
      </c>
      <c r="AP74" s="94">
        <v>0</v>
      </c>
      <c r="AQ74" s="94">
        <v>0</v>
      </c>
    </row>
    <row r="75" spans="39:43" ht="20.100000000000001" customHeight="1" x14ac:dyDescent="0.25">
      <c r="AM75" s="91">
        <v>64</v>
      </c>
      <c r="AN75" s="94">
        <v>0</v>
      </c>
      <c r="AO75" s="94">
        <v>0</v>
      </c>
      <c r="AP75" s="94">
        <v>0</v>
      </c>
      <c r="AQ75" s="94">
        <v>0</v>
      </c>
    </row>
    <row r="76" spans="39:43" ht="20.100000000000001" customHeight="1" x14ac:dyDescent="0.25">
      <c r="AM76" s="91">
        <v>65</v>
      </c>
      <c r="AN76" s="94">
        <v>0</v>
      </c>
      <c r="AO76" s="94">
        <v>0</v>
      </c>
      <c r="AP76" s="94">
        <v>0</v>
      </c>
      <c r="AQ76" s="94">
        <v>0</v>
      </c>
    </row>
    <row r="77" spans="39:43" ht="20.100000000000001" customHeight="1" x14ac:dyDescent="0.25">
      <c r="AM77" s="91">
        <v>66</v>
      </c>
      <c r="AN77" s="94">
        <v>0</v>
      </c>
      <c r="AO77" s="94">
        <v>0</v>
      </c>
      <c r="AP77" s="94">
        <v>0</v>
      </c>
      <c r="AQ77" s="94">
        <v>0</v>
      </c>
    </row>
    <row r="78" spans="39:43" ht="20.100000000000001" customHeight="1" x14ac:dyDescent="0.25">
      <c r="AM78" s="91">
        <v>67</v>
      </c>
      <c r="AN78" s="94">
        <v>0</v>
      </c>
      <c r="AO78" s="94">
        <v>0</v>
      </c>
      <c r="AP78" s="94">
        <v>0</v>
      </c>
      <c r="AQ78" s="94">
        <v>0</v>
      </c>
    </row>
    <row r="79" spans="39:43" ht="20.100000000000001" customHeight="1" x14ac:dyDescent="0.25">
      <c r="AM79" s="91">
        <v>68</v>
      </c>
      <c r="AN79" s="94">
        <v>0</v>
      </c>
      <c r="AO79" s="94">
        <v>0</v>
      </c>
      <c r="AP79" s="94">
        <v>0</v>
      </c>
      <c r="AQ79" s="94">
        <v>0</v>
      </c>
    </row>
    <row r="80" spans="39:43" ht="20.100000000000001" customHeight="1" x14ac:dyDescent="0.25">
      <c r="AM80" s="91">
        <v>69</v>
      </c>
      <c r="AN80" s="94">
        <v>0</v>
      </c>
      <c r="AO80" s="94">
        <v>0</v>
      </c>
      <c r="AP80" s="94">
        <v>0</v>
      </c>
      <c r="AQ80" s="94">
        <v>0</v>
      </c>
    </row>
    <row r="81" spans="39:43" ht="20.100000000000001" customHeight="1" x14ac:dyDescent="0.25">
      <c r="AM81" s="91">
        <v>70</v>
      </c>
      <c r="AN81" s="94">
        <v>0</v>
      </c>
      <c r="AO81" s="94">
        <v>0</v>
      </c>
      <c r="AP81" s="94">
        <v>0</v>
      </c>
      <c r="AQ81" s="94">
        <v>0</v>
      </c>
    </row>
  </sheetData>
  <sheetProtection algorithmName="SHA-512" hashValue="D/6bZNZ+fQt/LpBpgdTx/uh15HCAly+NdSAI1qVt5nf43vT5BrxMpStH87vKc2WoTym1vnZPm7/HqAI/KP42Lg==" saltValue="gfmZ7RRL+licpwScIk5NOQ==" spinCount="100000" sheet="1" objects="1" scenarios="1"/>
  <mergeCells count="53">
    <mergeCell ref="A1:R1"/>
    <mergeCell ref="A3:R4"/>
    <mergeCell ref="A5:R5"/>
    <mergeCell ref="A6:D6"/>
    <mergeCell ref="E6:F6"/>
    <mergeCell ref="G6:J6"/>
    <mergeCell ref="K6:N6"/>
    <mergeCell ref="O6:R6"/>
    <mergeCell ref="O7:P8"/>
    <mergeCell ref="Q7:R8"/>
    <mergeCell ref="AM8:AN8"/>
    <mergeCell ref="A9:D10"/>
    <mergeCell ref="E9:F10"/>
    <mergeCell ref="G9:H10"/>
    <mergeCell ref="I9:J10"/>
    <mergeCell ref="K9:L10"/>
    <mergeCell ref="M9:N10"/>
    <mergeCell ref="O9:P10"/>
    <mergeCell ref="A7:D8"/>
    <mergeCell ref="E7:F8"/>
    <mergeCell ref="G7:H8"/>
    <mergeCell ref="I7:J8"/>
    <mergeCell ref="K7:L8"/>
    <mergeCell ref="M7:N8"/>
    <mergeCell ref="Q9:R10"/>
    <mergeCell ref="AM9:AN9"/>
    <mergeCell ref="A11:D12"/>
    <mergeCell ref="E11:F12"/>
    <mergeCell ref="G11:H12"/>
    <mergeCell ref="I11:J12"/>
    <mergeCell ref="K11:L12"/>
    <mergeCell ref="M11:N12"/>
    <mergeCell ref="O11:P12"/>
    <mergeCell ref="Q11:R12"/>
    <mergeCell ref="AS11:BB11"/>
    <mergeCell ref="AS12:AS41"/>
    <mergeCell ref="AU12:AU41"/>
    <mergeCell ref="AW12:AW41"/>
    <mergeCell ref="AY12:AY41"/>
    <mergeCell ref="BA12:BA41"/>
    <mergeCell ref="A18:R20"/>
    <mergeCell ref="O13:P14"/>
    <mergeCell ref="Q13:R14"/>
    <mergeCell ref="A15:R15"/>
    <mergeCell ref="A16:R16"/>
    <mergeCell ref="A17:C17"/>
    <mergeCell ref="D17:R17"/>
    <mergeCell ref="A13:D14"/>
    <mergeCell ref="E13:F14"/>
    <mergeCell ref="G13:H14"/>
    <mergeCell ref="I13:J14"/>
    <mergeCell ref="K13:L14"/>
    <mergeCell ref="M13:N14"/>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14499-2B16-4291-9893-02AFA097A9F6}">
  <dimension ref="A1:U341"/>
  <sheetViews>
    <sheetView workbookViewId="0">
      <selection sqref="A1:J1"/>
    </sheetView>
  </sheetViews>
  <sheetFormatPr defaultRowHeight="20.100000000000001" customHeight="1" x14ac:dyDescent="0.25"/>
  <cols>
    <col min="1" max="10" width="10.625" style="24" customWidth="1"/>
    <col min="11" max="16384" width="9" style="22"/>
  </cols>
  <sheetData>
    <row r="1" spans="1:10" ht="20.100000000000001" customHeight="1" thickBot="1" x14ac:dyDescent="0.3">
      <c r="A1" s="246" t="s">
        <v>307</v>
      </c>
      <c r="B1" s="246"/>
      <c r="C1" s="246"/>
      <c r="D1" s="246"/>
      <c r="E1" s="246"/>
      <c r="F1" s="246"/>
      <c r="G1" s="246"/>
      <c r="H1" s="246"/>
      <c r="I1" s="246"/>
      <c r="J1" s="246"/>
    </row>
    <row r="2" spans="1:10" ht="20.100000000000001" customHeight="1" x14ac:dyDescent="0.25">
      <c r="A2" s="23"/>
      <c r="B2" s="1"/>
      <c r="C2" s="1"/>
      <c r="D2" s="1"/>
      <c r="E2" s="1"/>
    </row>
    <row r="3" spans="1:10" ht="20.100000000000001" customHeight="1" x14ac:dyDescent="0.25">
      <c r="A3" s="241" t="s">
        <v>308</v>
      </c>
      <c r="B3" s="241" t="s">
        <v>309</v>
      </c>
      <c r="C3" s="241"/>
      <c r="D3" s="241" t="s">
        <v>310</v>
      </c>
      <c r="E3" s="241"/>
      <c r="F3" s="241"/>
      <c r="G3" s="247" t="s">
        <v>311</v>
      </c>
      <c r="H3" s="248"/>
      <c r="I3" s="241" t="s">
        <v>312</v>
      </c>
      <c r="J3" s="241"/>
    </row>
    <row r="4" spans="1:10" ht="20.100000000000001" customHeight="1" x14ac:dyDescent="0.25">
      <c r="A4" s="241"/>
      <c r="B4" s="241"/>
      <c r="C4" s="241"/>
      <c r="D4" s="241"/>
      <c r="E4" s="241"/>
      <c r="F4" s="241"/>
      <c r="G4" s="249"/>
      <c r="H4" s="250"/>
      <c r="I4" s="241"/>
      <c r="J4" s="241"/>
    </row>
    <row r="5" spans="1:10" ht="20.100000000000001" customHeight="1" x14ac:dyDescent="0.25">
      <c r="A5" s="241"/>
      <c r="B5" s="241"/>
      <c r="C5" s="241"/>
      <c r="D5" s="241"/>
      <c r="E5" s="241"/>
      <c r="F5" s="241"/>
      <c r="G5" s="241" t="s">
        <v>313</v>
      </c>
      <c r="H5" s="241"/>
      <c r="I5" s="241"/>
      <c r="J5" s="241"/>
    </row>
    <row r="6" spans="1:10" ht="20.100000000000001" customHeight="1" x14ac:dyDescent="0.25">
      <c r="A6" s="245" t="s">
        <v>314</v>
      </c>
      <c r="B6" s="241" t="s">
        <v>315</v>
      </c>
      <c r="C6" s="241"/>
      <c r="D6" s="242" t="s">
        <v>316</v>
      </c>
      <c r="E6" s="242"/>
      <c r="F6" s="242"/>
      <c r="G6" s="243">
        <v>5</v>
      </c>
      <c r="H6" s="243"/>
      <c r="I6" s="244">
        <v>0</v>
      </c>
      <c r="J6" s="244"/>
    </row>
    <row r="7" spans="1:10" ht="20.100000000000001" customHeight="1" x14ac:dyDescent="0.25">
      <c r="A7" s="245"/>
      <c r="B7" s="241"/>
      <c r="C7" s="241"/>
      <c r="D7" s="242" t="s">
        <v>317</v>
      </c>
      <c r="E7" s="242"/>
      <c r="F7" s="242"/>
      <c r="G7" s="243">
        <v>10</v>
      </c>
      <c r="H7" s="243"/>
      <c r="I7" s="244">
        <v>0</v>
      </c>
      <c r="J7" s="244"/>
    </row>
    <row r="8" spans="1:10" ht="20.100000000000001" customHeight="1" x14ac:dyDescent="0.25">
      <c r="A8" s="245"/>
      <c r="B8" s="241" t="s">
        <v>318</v>
      </c>
      <c r="C8" s="241"/>
      <c r="D8" s="242" t="s">
        <v>316</v>
      </c>
      <c r="E8" s="242"/>
      <c r="F8" s="242"/>
      <c r="G8" s="243">
        <v>60</v>
      </c>
      <c r="H8" s="243"/>
      <c r="I8" s="244">
        <v>0.2</v>
      </c>
      <c r="J8" s="244"/>
    </row>
    <row r="9" spans="1:10" ht="20.100000000000001" customHeight="1" x14ac:dyDescent="0.25">
      <c r="A9" s="245"/>
      <c r="B9" s="241"/>
      <c r="C9" s="241"/>
      <c r="D9" s="242" t="s">
        <v>319</v>
      </c>
      <c r="E9" s="242"/>
      <c r="F9" s="242"/>
      <c r="G9" s="243">
        <v>60</v>
      </c>
      <c r="H9" s="243"/>
      <c r="I9" s="244">
        <v>0.2</v>
      </c>
      <c r="J9" s="244"/>
    </row>
    <row r="10" spans="1:10" ht="20.100000000000001" customHeight="1" x14ac:dyDescent="0.25">
      <c r="A10" s="245"/>
      <c r="B10" s="241"/>
      <c r="C10" s="241"/>
      <c r="D10" s="242" t="s">
        <v>320</v>
      </c>
      <c r="E10" s="242"/>
      <c r="F10" s="242"/>
      <c r="G10" s="243">
        <v>70</v>
      </c>
      <c r="H10" s="243"/>
      <c r="I10" s="244">
        <v>0.2</v>
      </c>
      <c r="J10" s="244"/>
    </row>
    <row r="11" spans="1:10" ht="20.100000000000001" customHeight="1" x14ac:dyDescent="0.25">
      <c r="A11" s="245"/>
      <c r="B11" s="241"/>
      <c r="C11" s="241"/>
      <c r="D11" s="242" t="s">
        <v>317</v>
      </c>
      <c r="E11" s="242"/>
      <c r="F11" s="242"/>
      <c r="G11" s="243">
        <v>70</v>
      </c>
      <c r="H11" s="243"/>
      <c r="I11" s="244">
        <v>0.2</v>
      </c>
      <c r="J11" s="244"/>
    </row>
    <row r="12" spans="1:10" ht="20.100000000000001" customHeight="1" x14ac:dyDescent="0.25">
      <c r="A12" s="245"/>
      <c r="B12" s="241"/>
      <c r="C12" s="241"/>
      <c r="D12" s="242" t="s">
        <v>321</v>
      </c>
      <c r="E12" s="242"/>
      <c r="F12" s="242"/>
      <c r="G12" s="243">
        <v>70</v>
      </c>
      <c r="H12" s="243"/>
      <c r="I12" s="244">
        <v>0.2</v>
      </c>
      <c r="J12" s="244"/>
    </row>
    <row r="13" spans="1:10" ht="20.100000000000001" customHeight="1" x14ac:dyDescent="0.25">
      <c r="A13" s="245"/>
      <c r="B13" s="241"/>
      <c r="C13" s="241"/>
      <c r="D13" s="242" t="s">
        <v>322</v>
      </c>
      <c r="E13" s="242"/>
      <c r="F13" s="242"/>
      <c r="G13" s="243">
        <v>70</v>
      </c>
      <c r="H13" s="243"/>
      <c r="I13" s="244">
        <v>0.2</v>
      </c>
      <c r="J13" s="244"/>
    </row>
    <row r="14" spans="1:10" ht="20.100000000000001" customHeight="1" x14ac:dyDescent="0.25">
      <c r="A14" s="245"/>
      <c r="B14" s="241"/>
      <c r="C14" s="241"/>
      <c r="D14" s="242" t="s">
        <v>323</v>
      </c>
      <c r="E14" s="242"/>
      <c r="F14" s="242"/>
      <c r="G14" s="243">
        <v>60</v>
      </c>
      <c r="H14" s="243"/>
      <c r="I14" s="244">
        <v>0.2</v>
      </c>
      <c r="J14" s="244"/>
    </row>
    <row r="15" spans="1:10" ht="20.100000000000001" customHeight="1" x14ac:dyDescent="0.25">
      <c r="A15" s="245"/>
      <c r="B15" s="241"/>
      <c r="C15" s="241"/>
      <c r="D15" s="242" t="s">
        <v>324</v>
      </c>
      <c r="E15" s="242"/>
      <c r="F15" s="242"/>
      <c r="G15" s="243">
        <v>60</v>
      </c>
      <c r="H15" s="243"/>
      <c r="I15" s="244">
        <v>0.2</v>
      </c>
      <c r="J15" s="244"/>
    </row>
    <row r="16" spans="1:10" ht="20.100000000000001" customHeight="1" x14ac:dyDescent="0.25">
      <c r="A16" s="245"/>
      <c r="B16" s="241" t="s">
        <v>325</v>
      </c>
      <c r="C16" s="241"/>
      <c r="D16" s="242" t="s">
        <v>320</v>
      </c>
      <c r="E16" s="242"/>
      <c r="F16" s="242"/>
      <c r="G16" s="243">
        <v>60</v>
      </c>
      <c r="H16" s="243"/>
      <c r="I16" s="244">
        <v>0.2</v>
      </c>
      <c r="J16" s="244"/>
    </row>
    <row r="17" spans="1:10" ht="20.100000000000001" customHeight="1" x14ac:dyDescent="0.25">
      <c r="A17" s="245"/>
      <c r="B17" s="241"/>
      <c r="C17" s="241"/>
      <c r="D17" s="242" t="s">
        <v>317</v>
      </c>
      <c r="E17" s="242"/>
      <c r="F17" s="242"/>
      <c r="G17" s="243">
        <v>60</v>
      </c>
      <c r="H17" s="243"/>
      <c r="I17" s="244">
        <v>0.2</v>
      </c>
      <c r="J17" s="244"/>
    </row>
    <row r="18" spans="1:10" ht="20.100000000000001" customHeight="1" x14ac:dyDescent="0.25">
      <c r="A18" s="245"/>
      <c r="B18" s="241"/>
      <c r="C18" s="241"/>
      <c r="D18" s="242" t="s">
        <v>321</v>
      </c>
      <c r="E18" s="242"/>
      <c r="F18" s="242"/>
      <c r="G18" s="243">
        <v>60</v>
      </c>
      <c r="H18" s="243"/>
      <c r="I18" s="244">
        <v>0.2</v>
      </c>
      <c r="J18" s="244"/>
    </row>
    <row r="19" spans="1:10" ht="20.100000000000001" customHeight="1" x14ac:dyDescent="0.25">
      <c r="A19" s="245"/>
      <c r="B19" s="241"/>
      <c r="C19" s="241"/>
      <c r="D19" s="242" t="s">
        <v>322</v>
      </c>
      <c r="E19" s="242"/>
      <c r="F19" s="242"/>
      <c r="G19" s="243">
        <v>60</v>
      </c>
      <c r="H19" s="243"/>
      <c r="I19" s="244">
        <v>0.2</v>
      </c>
      <c r="J19" s="244"/>
    </row>
    <row r="20" spans="1:10" ht="20.100000000000001" customHeight="1" x14ac:dyDescent="0.25">
      <c r="A20" s="245"/>
      <c r="B20" s="241"/>
      <c r="C20" s="241"/>
      <c r="D20" s="242" t="s">
        <v>323</v>
      </c>
      <c r="E20" s="242"/>
      <c r="F20" s="242"/>
      <c r="G20" s="243">
        <v>50</v>
      </c>
      <c r="H20" s="243"/>
      <c r="I20" s="244">
        <v>0.2</v>
      </c>
      <c r="J20" s="244"/>
    </row>
    <row r="21" spans="1:10" ht="20.100000000000001" customHeight="1" x14ac:dyDescent="0.25">
      <c r="A21" s="245"/>
      <c r="B21" s="241"/>
      <c r="C21" s="241"/>
      <c r="D21" s="242" t="s">
        <v>324</v>
      </c>
      <c r="E21" s="242"/>
      <c r="F21" s="242"/>
      <c r="G21" s="243">
        <v>50</v>
      </c>
      <c r="H21" s="243"/>
      <c r="I21" s="244">
        <v>0.2</v>
      </c>
      <c r="J21" s="244"/>
    </row>
    <row r="22" spans="1:10" ht="20.100000000000001" customHeight="1" x14ac:dyDescent="0.25">
      <c r="A22" s="245" t="s">
        <v>326</v>
      </c>
      <c r="B22" s="241" t="s">
        <v>327</v>
      </c>
      <c r="C22" s="241"/>
      <c r="D22" s="242" t="s">
        <v>320</v>
      </c>
      <c r="E22" s="242"/>
      <c r="F22" s="242"/>
      <c r="G22" s="243">
        <v>70</v>
      </c>
      <c r="H22" s="243"/>
      <c r="I22" s="244">
        <v>0.2</v>
      </c>
      <c r="J22" s="244"/>
    </row>
    <row r="23" spans="1:10" ht="20.100000000000001" customHeight="1" x14ac:dyDescent="0.25">
      <c r="A23" s="245"/>
      <c r="B23" s="241"/>
      <c r="C23" s="241"/>
      <c r="D23" s="242" t="s">
        <v>317</v>
      </c>
      <c r="E23" s="242"/>
      <c r="F23" s="242"/>
      <c r="G23" s="243">
        <v>70</v>
      </c>
      <c r="H23" s="243"/>
      <c r="I23" s="244">
        <v>0.2</v>
      </c>
      <c r="J23" s="244"/>
    </row>
    <row r="24" spans="1:10" ht="20.100000000000001" customHeight="1" x14ac:dyDescent="0.25">
      <c r="A24" s="245"/>
      <c r="B24" s="241"/>
      <c r="C24" s="241"/>
      <c r="D24" s="242" t="s">
        <v>321</v>
      </c>
      <c r="E24" s="242"/>
      <c r="F24" s="242"/>
      <c r="G24" s="243">
        <v>60</v>
      </c>
      <c r="H24" s="243"/>
      <c r="I24" s="244">
        <v>0.2</v>
      </c>
      <c r="J24" s="244"/>
    </row>
    <row r="25" spans="1:10" ht="20.100000000000001" customHeight="1" x14ac:dyDescent="0.25">
      <c r="A25" s="245"/>
      <c r="B25" s="241"/>
      <c r="C25" s="241"/>
      <c r="D25" s="242" t="s">
        <v>322</v>
      </c>
      <c r="E25" s="242"/>
      <c r="F25" s="242"/>
      <c r="G25" s="243">
        <v>60</v>
      </c>
      <c r="H25" s="243"/>
      <c r="I25" s="244">
        <v>0.2</v>
      </c>
      <c r="J25" s="244"/>
    </row>
    <row r="26" spans="1:10" ht="20.100000000000001" customHeight="1" x14ac:dyDescent="0.25">
      <c r="A26" s="245"/>
      <c r="B26" s="241"/>
      <c r="C26" s="241"/>
      <c r="D26" s="242" t="s">
        <v>323</v>
      </c>
      <c r="E26" s="242"/>
      <c r="F26" s="242"/>
      <c r="G26" s="243">
        <v>50</v>
      </c>
      <c r="H26" s="243"/>
      <c r="I26" s="244">
        <v>0.2</v>
      </c>
      <c r="J26" s="244"/>
    </row>
    <row r="27" spans="1:10" ht="20.100000000000001" customHeight="1" x14ac:dyDescent="0.25">
      <c r="A27" s="245"/>
      <c r="B27" s="241"/>
      <c r="C27" s="241"/>
      <c r="D27" s="242" t="s">
        <v>324</v>
      </c>
      <c r="E27" s="242"/>
      <c r="F27" s="242"/>
      <c r="G27" s="243">
        <v>50</v>
      </c>
      <c r="H27" s="243"/>
      <c r="I27" s="244">
        <v>0.2</v>
      </c>
      <c r="J27" s="244"/>
    </row>
    <row r="28" spans="1:10" ht="20.100000000000001" customHeight="1" x14ac:dyDescent="0.25">
      <c r="A28" s="245"/>
      <c r="B28" s="241" t="s">
        <v>328</v>
      </c>
      <c r="C28" s="241"/>
      <c r="D28" s="242" t="s">
        <v>316</v>
      </c>
      <c r="E28" s="242"/>
      <c r="F28" s="242"/>
      <c r="G28" s="243">
        <v>60</v>
      </c>
      <c r="H28" s="243"/>
      <c r="I28" s="244">
        <v>0.2</v>
      </c>
      <c r="J28" s="244"/>
    </row>
    <row r="29" spans="1:10" ht="20.100000000000001" customHeight="1" x14ac:dyDescent="0.25">
      <c r="A29" s="245"/>
      <c r="B29" s="241"/>
      <c r="C29" s="241"/>
      <c r="D29" s="242" t="s">
        <v>317</v>
      </c>
      <c r="E29" s="242"/>
      <c r="F29" s="242"/>
      <c r="G29" s="243">
        <v>60</v>
      </c>
      <c r="H29" s="243"/>
      <c r="I29" s="244">
        <v>0.2</v>
      </c>
      <c r="J29" s="244"/>
    </row>
    <row r="30" spans="1:10" ht="20.100000000000001" customHeight="1" x14ac:dyDescent="0.25">
      <c r="A30" s="245"/>
      <c r="B30" s="241"/>
      <c r="C30" s="241"/>
      <c r="D30" s="242" t="s">
        <v>321</v>
      </c>
      <c r="E30" s="242"/>
      <c r="F30" s="242"/>
      <c r="G30" s="243">
        <v>80</v>
      </c>
      <c r="H30" s="243"/>
      <c r="I30" s="244">
        <v>0.2</v>
      </c>
      <c r="J30" s="244"/>
    </row>
    <row r="31" spans="1:10" ht="20.100000000000001" customHeight="1" x14ac:dyDescent="0.25">
      <c r="A31" s="245"/>
      <c r="B31" s="241"/>
      <c r="C31" s="241"/>
      <c r="D31" s="242" t="s">
        <v>322</v>
      </c>
      <c r="E31" s="242"/>
      <c r="F31" s="242"/>
      <c r="G31" s="243">
        <v>80</v>
      </c>
      <c r="H31" s="243"/>
      <c r="I31" s="244">
        <v>0.2</v>
      </c>
      <c r="J31" s="244"/>
    </row>
    <row r="32" spans="1:10" ht="20.100000000000001" customHeight="1" x14ac:dyDescent="0.25">
      <c r="A32" s="245"/>
      <c r="B32" s="241" t="s">
        <v>329</v>
      </c>
      <c r="C32" s="241"/>
      <c r="D32" s="242" t="s">
        <v>316</v>
      </c>
      <c r="E32" s="242"/>
      <c r="F32" s="242"/>
      <c r="G32" s="243">
        <v>20</v>
      </c>
      <c r="H32" s="243"/>
      <c r="I32" s="244">
        <v>0.1</v>
      </c>
      <c r="J32" s="244"/>
    </row>
    <row r="33" spans="1:10" ht="20.100000000000001" customHeight="1" x14ac:dyDescent="0.25">
      <c r="A33" s="245"/>
      <c r="B33" s="241"/>
      <c r="C33" s="241"/>
      <c r="D33" s="242" t="s">
        <v>317</v>
      </c>
      <c r="E33" s="242"/>
      <c r="F33" s="242"/>
      <c r="G33" s="243">
        <v>20</v>
      </c>
      <c r="H33" s="243"/>
      <c r="I33" s="244">
        <v>0.1</v>
      </c>
      <c r="J33" s="244"/>
    </row>
    <row r="34" spans="1:10" ht="20.100000000000001" customHeight="1" x14ac:dyDescent="0.25">
      <c r="A34" s="245"/>
      <c r="B34" s="241"/>
      <c r="C34" s="241"/>
      <c r="D34" s="242" t="s">
        <v>322</v>
      </c>
      <c r="E34" s="242"/>
      <c r="F34" s="242"/>
      <c r="G34" s="243">
        <v>30</v>
      </c>
      <c r="H34" s="243"/>
      <c r="I34" s="244">
        <v>0.1</v>
      </c>
      <c r="J34" s="244"/>
    </row>
    <row r="35" spans="1:10" ht="20.100000000000001" customHeight="1" x14ac:dyDescent="0.25">
      <c r="A35" s="1"/>
      <c r="B35" s="1"/>
      <c r="C35" s="1"/>
      <c r="D35" s="1"/>
      <c r="E35" s="1"/>
    </row>
    <row r="36" spans="1:10" ht="20.100000000000001" customHeight="1" x14ac:dyDescent="0.25">
      <c r="A36" s="133" t="s">
        <v>80</v>
      </c>
      <c r="B36" s="133"/>
      <c r="C36" s="133"/>
      <c r="D36" s="133"/>
      <c r="E36" s="133"/>
      <c r="F36" s="133"/>
      <c r="G36" s="133"/>
      <c r="H36" s="133"/>
      <c r="I36" s="133"/>
      <c r="J36" s="133"/>
    </row>
    <row r="37" spans="1:10" ht="20.100000000000001" customHeight="1" x14ac:dyDescent="0.25">
      <c r="A37" s="133" t="s">
        <v>330</v>
      </c>
      <c r="B37" s="133"/>
      <c r="C37" s="133"/>
      <c r="D37" s="133"/>
      <c r="E37" s="133"/>
      <c r="F37" s="133"/>
      <c r="G37" s="133"/>
      <c r="H37" s="133"/>
      <c r="I37" s="133"/>
      <c r="J37" s="133"/>
    </row>
    <row r="38" spans="1:10" ht="20.100000000000001" customHeight="1" x14ac:dyDescent="0.25">
      <c r="A38" s="133" t="s">
        <v>331</v>
      </c>
      <c r="B38" s="133"/>
      <c r="C38" s="133"/>
      <c r="D38" s="133"/>
      <c r="E38" s="133"/>
      <c r="F38" s="133"/>
      <c r="G38" s="133"/>
      <c r="H38" s="133"/>
      <c r="I38" s="133"/>
      <c r="J38" s="133"/>
    </row>
    <row r="39" spans="1:10" ht="20.100000000000001" customHeight="1" x14ac:dyDescent="0.25">
      <c r="A39" s="133"/>
      <c r="B39" s="133"/>
      <c r="C39" s="133"/>
      <c r="D39" s="133"/>
      <c r="E39" s="133"/>
      <c r="F39" s="133"/>
      <c r="G39" s="133"/>
      <c r="H39" s="133"/>
      <c r="I39" s="133"/>
      <c r="J39" s="133"/>
    </row>
    <row r="42" spans="1:10" ht="20.100000000000001" customHeight="1" x14ac:dyDescent="0.25">
      <c r="A42" s="238" t="s">
        <v>332</v>
      </c>
      <c r="B42" s="238"/>
      <c r="C42" s="238"/>
      <c r="D42" s="238"/>
      <c r="E42" s="238"/>
      <c r="F42" s="238"/>
      <c r="G42" s="238"/>
      <c r="H42" s="238"/>
      <c r="I42" s="238"/>
      <c r="J42" s="238"/>
    </row>
    <row r="43" spans="1:10" ht="20.100000000000001" customHeight="1" thickBot="1" x14ac:dyDescent="0.3">
      <c r="A43" s="239"/>
      <c r="B43" s="239"/>
      <c r="C43" s="239"/>
      <c r="D43" s="239"/>
      <c r="E43" s="239"/>
      <c r="F43" s="239"/>
      <c r="G43" s="239"/>
      <c r="H43" s="239"/>
      <c r="I43" s="239"/>
      <c r="J43" s="239"/>
    </row>
    <row r="44" spans="1:10" ht="20.100000000000001" customHeight="1" x14ac:dyDescent="0.25">
      <c r="A44" s="25"/>
      <c r="B44" s="26"/>
      <c r="C44" s="26"/>
      <c r="D44" s="26"/>
      <c r="E44" s="26"/>
      <c r="F44" s="27"/>
      <c r="G44" s="27"/>
      <c r="H44" s="28"/>
      <c r="I44" s="28"/>
      <c r="J44" s="28"/>
    </row>
    <row r="45" spans="1:10" ht="20.100000000000001" customHeight="1" x14ac:dyDescent="0.25">
      <c r="A45" s="240" t="s">
        <v>333</v>
      </c>
      <c r="B45" s="240" t="s">
        <v>334</v>
      </c>
      <c r="C45" s="240"/>
      <c r="D45" s="240"/>
      <c r="E45" s="240" t="s">
        <v>335</v>
      </c>
      <c r="F45" s="240" t="s">
        <v>336</v>
      </c>
      <c r="G45" s="240"/>
      <c r="H45" s="240"/>
      <c r="I45" s="240"/>
      <c r="J45" s="240"/>
    </row>
    <row r="46" spans="1:10" ht="20.100000000000001" customHeight="1" x14ac:dyDescent="0.25">
      <c r="A46" s="240"/>
      <c r="B46" s="240"/>
      <c r="C46" s="240"/>
      <c r="D46" s="240"/>
      <c r="E46" s="240"/>
      <c r="F46" s="240"/>
      <c r="G46" s="240"/>
      <c r="H46" s="240"/>
      <c r="I46" s="240"/>
      <c r="J46" s="240"/>
    </row>
    <row r="47" spans="1:10" ht="20.100000000000001" customHeight="1" x14ac:dyDescent="0.25">
      <c r="A47" s="233" t="s">
        <v>337</v>
      </c>
      <c r="B47" s="234" t="s">
        <v>290</v>
      </c>
      <c r="C47" s="234"/>
      <c r="D47" s="234"/>
      <c r="E47" s="237">
        <v>0</v>
      </c>
      <c r="F47" s="236" t="s">
        <v>338</v>
      </c>
      <c r="G47" s="236"/>
      <c r="H47" s="236"/>
      <c r="I47" s="236"/>
      <c r="J47" s="236"/>
    </row>
    <row r="48" spans="1:10" ht="20.100000000000001" customHeight="1" x14ac:dyDescent="0.25">
      <c r="A48" s="233"/>
      <c r="B48" s="234"/>
      <c r="C48" s="234"/>
      <c r="D48" s="234"/>
      <c r="E48" s="237"/>
      <c r="F48" s="236"/>
      <c r="G48" s="236"/>
      <c r="H48" s="236"/>
      <c r="I48" s="236"/>
      <c r="J48" s="236"/>
    </row>
    <row r="49" spans="1:10" ht="20.100000000000001" customHeight="1" x14ac:dyDescent="0.25">
      <c r="A49" s="233"/>
      <c r="B49" s="234"/>
      <c r="C49" s="234"/>
      <c r="D49" s="234"/>
      <c r="E49" s="237"/>
      <c r="F49" s="236"/>
      <c r="G49" s="236"/>
      <c r="H49" s="236"/>
      <c r="I49" s="236"/>
      <c r="J49" s="236"/>
    </row>
    <row r="50" spans="1:10" ht="20.100000000000001" customHeight="1" x14ac:dyDescent="0.25">
      <c r="A50" s="233" t="s">
        <v>339</v>
      </c>
      <c r="B50" s="234" t="s">
        <v>340</v>
      </c>
      <c r="C50" s="234"/>
      <c r="D50" s="234"/>
      <c r="E50" s="237">
        <v>0.32</v>
      </c>
      <c r="F50" s="236" t="s">
        <v>341</v>
      </c>
      <c r="G50" s="236"/>
      <c r="H50" s="236"/>
      <c r="I50" s="236"/>
      <c r="J50" s="236"/>
    </row>
    <row r="51" spans="1:10" ht="20.100000000000001" customHeight="1" x14ac:dyDescent="0.25">
      <c r="A51" s="233"/>
      <c r="B51" s="234"/>
      <c r="C51" s="234"/>
      <c r="D51" s="234"/>
      <c r="E51" s="237"/>
      <c r="F51" s="236"/>
      <c r="G51" s="236"/>
      <c r="H51" s="236"/>
      <c r="I51" s="236"/>
      <c r="J51" s="236"/>
    </row>
    <row r="52" spans="1:10" ht="20.100000000000001" customHeight="1" x14ac:dyDescent="0.25">
      <c r="A52" s="233"/>
      <c r="B52" s="234"/>
      <c r="C52" s="234"/>
      <c r="D52" s="234"/>
      <c r="E52" s="237"/>
      <c r="F52" s="236"/>
      <c r="G52" s="236"/>
      <c r="H52" s="236"/>
      <c r="I52" s="236"/>
      <c r="J52" s="236"/>
    </row>
    <row r="53" spans="1:10" ht="20.100000000000001" customHeight="1" x14ac:dyDescent="0.25">
      <c r="A53" s="233" t="s">
        <v>342</v>
      </c>
      <c r="B53" s="234" t="s">
        <v>7</v>
      </c>
      <c r="C53" s="234"/>
      <c r="D53" s="234"/>
      <c r="E53" s="237">
        <v>2.52</v>
      </c>
      <c r="F53" s="236" t="s">
        <v>343</v>
      </c>
      <c r="G53" s="236"/>
      <c r="H53" s="236"/>
      <c r="I53" s="236"/>
      <c r="J53" s="236"/>
    </row>
    <row r="54" spans="1:10" ht="20.100000000000001" customHeight="1" x14ac:dyDescent="0.25">
      <c r="A54" s="233"/>
      <c r="B54" s="234"/>
      <c r="C54" s="234"/>
      <c r="D54" s="234"/>
      <c r="E54" s="237"/>
      <c r="F54" s="236"/>
      <c r="G54" s="236"/>
      <c r="H54" s="236"/>
      <c r="I54" s="236"/>
      <c r="J54" s="236"/>
    </row>
    <row r="55" spans="1:10" ht="20.100000000000001" customHeight="1" x14ac:dyDescent="0.25">
      <c r="A55" s="233"/>
      <c r="B55" s="234"/>
      <c r="C55" s="234"/>
      <c r="D55" s="234"/>
      <c r="E55" s="237"/>
      <c r="F55" s="236"/>
      <c r="G55" s="236"/>
      <c r="H55" s="236"/>
      <c r="I55" s="236"/>
      <c r="J55" s="236"/>
    </row>
    <row r="56" spans="1:10" ht="20.100000000000001" customHeight="1" x14ac:dyDescent="0.25">
      <c r="A56" s="233" t="s">
        <v>344</v>
      </c>
      <c r="B56" s="234" t="s">
        <v>345</v>
      </c>
      <c r="C56" s="234"/>
      <c r="D56" s="234"/>
      <c r="E56" s="237">
        <v>8.09</v>
      </c>
      <c r="F56" s="236" t="s">
        <v>346</v>
      </c>
      <c r="G56" s="236"/>
      <c r="H56" s="236"/>
      <c r="I56" s="236"/>
      <c r="J56" s="236"/>
    </row>
    <row r="57" spans="1:10" ht="20.100000000000001" customHeight="1" x14ac:dyDescent="0.25">
      <c r="A57" s="233"/>
      <c r="B57" s="234"/>
      <c r="C57" s="234"/>
      <c r="D57" s="234"/>
      <c r="E57" s="237"/>
      <c r="F57" s="236"/>
      <c r="G57" s="236"/>
      <c r="H57" s="236"/>
      <c r="I57" s="236"/>
      <c r="J57" s="236"/>
    </row>
    <row r="58" spans="1:10" ht="20.100000000000001" customHeight="1" x14ac:dyDescent="0.25">
      <c r="A58" s="233"/>
      <c r="B58" s="234"/>
      <c r="C58" s="234"/>
      <c r="D58" s="234"/>
      <c r="E58" s="237"/>
      <c r="F58" s="236"/>
      <c r="G58" s="236"/>
      <c r="H58" s="236"/>
      <c r="I58" s="236"/>
      <c r="J58" s="236"/>
    </row>
    <row r="59" spans="1:10" ht="20.100000000000001" customHeight="1" x14ac:dyDescent="0.25">
      <c r="A59" s="233" t="s">
        <v>347</v>
      </c>
      <c r="B59" s="234" t="s">
        <v>348</v>
      </c>
      <c r="C59" s="234"/>
      <c r="D59" s="234"/>
      <c r="E59" s="235">
        <v>18.100000000000001</v>
      </c>
      <c r="F59" s="236" t="s">
        <v>349</v>
      </c>
      <c r="G59" s="236"/>
      <c r="H59" s="236"/>
      <c r="I59" s="236"/>
      <c r="J59" s="236"/>
    </row>
    <row r="60" spans="1:10" ht="20.100000000000001" customHeight="1" x14ac:dyDescent="0.25">
      <c r="A60" s="233"/>
      <c r="B60" s="234"/>
      <c r="C60" s="234"/>
      <c r="D60" s="234"/>
      <c r="E60" s="235"/>
      <c r="F60" s="236"/>
      <c r="G60" s="236"/>
      <c r="H60" s="236"/>
      <c r="I60" s="236"/>
      <c r="J60" s="236"/>
    </row>
    <row r="61" spans="1:10" ht="20.100000000000001" customHeight="1" x14ac:dyDescent="0.25">
      <c r="A61" s="233"/>
      <c r="B61" s="234"/>
      <c r="C61" s="234"/>
      <c r="D61" s="234"/>
      <c r="E61" s="235"/>
      <c r="F61" s="236"/>
      <c r="G61" s="236"/>
      <c r="H61" s="236"/>
      <c r="I61" s="236"/>
      <c r="J61" s="236"/>
    </row>
    <row r="62" spans="1:10" ht="20.100000000000001" customHeight="1" x14ac:dyDescent="0.25">
      <c r="A62" s="233"/>
      <c r="B62" s="234"/>
      <c r="C62" s="234"/>
      <c r="D62" s="234"/>
      <c r="E62" s="235"/>
      <c r="F62" s="236"/>
      <c r="G62" s="236"/>
      <c r="H62" s="236"/>
      <c r="I62" s="236"/>
      <c r="J62" s="236"/>
    </row>
    <row r="63" spans="1:10" ht="20.100000000000001" customHeight="1" x14ac:dyDescent="0.25">
      <c r="A63" s="233" t="s">
        <v>350</v>
      </c>
      <c r="B63" s="234" t="s">
        <v>351</v>
      </c>
      <c r="C63" s="234"/>
      <c r="D63" s="234"/>
      <c r="E63" s="235">
        <v>33.200000000000003</v>
      </c>
      <c r="F63" s="236" t="s">
        <v>352</v>
      </c>
      <c r="G63" s="236"/>
      <c r="H63" s="236"/>
      <c r="I63" s="236"/>
      <c r="J63" s="236"/>
    </row>
    <row r="64" spans="1:10" ht="20.100000000000001" customHeight="1" x14ac:dyDescent="0.25">
      <c r="A64" s="233"/>
      <c r="B64" s="234"/>
      <c r="C64" s="234"/>
      <c r="D64" s="234"/>
      <c r="E64" s="235"/>
      <c r="F64" s="236"/>
      <c r="G64" s="236"/>
      <c r="H64" s="236"/>
      <c r="I64" s="236"/>
      <c r="J64" s="236"/>
    </row>
    <row r="65" spans="1:10" ht="20.100000000000001" customHeight="1" x14ac:dyDescent="0.25">
      <c r="A65" s="233"/>
      <c r="B65" s="234"/>
      <c r="C65" s="234"/>
      <c r="D65" s="234"/>
      <c r="E65" s="235"/>
      <c r="F65" s="236"/>
      <c r="G65" s="236"/>
      <c r="H65" s="236"/>
      <c r="I65" s="236"/>
      <c r="J65" s="236"/>
    </row>
    <row r="66" spans="1:10" ht="20.100000000000001" customHeight="1" x14ac:dyDescent="0.25">
      <c r="A66" s="233"/>
      <c r="B66" s="234"/>
      <c r="C66" s="234"/>
      <c r="D66" s="234"/>
      <c r="E66" s="235"/>
      <c r="F66" s="236"/>
      <c r="G66" s="236"/>
      <c r="H66" s="236"/>
      <c r="I66" s="236"/>
      <c r="J66" s="236"/>
    </row>
    <row r="67" spans="1:10" ht="20.100000000000001" customHeight="1" x14ac:dyDescent="0.25">
      <c r="A67" s="233"/>
      <c r="B67" s="234"/>
      <c r="C67" s="234"/>
      <c r="D67" s="234"/>
      <c r="E67" s="235"/>
      <c r="F67" s="236"/>
      <c r="G67" s="236"/>
      <c r="H67" s="236"/>
      <c r="I67" s="236"/>
      <c r="J67" s="236"/>
    </row>
    <row r="68" spans="1:10" ht="20.100000000000001" customHeight="1" x14ac:dyDescent="0.25">
      <c r="A68" s="233"/>
      <c r="B68" s="234"/>
      <c r="C68" s="234"/>
      <c r="D68" s="234"/>
      <c r="E68" s="235"/>
      <c r="F68" s="236"/>
      <c r="G68" s="236"/>
      <c r="H68" s="236"/>
      <c r="I68" s="236"/>
      <c r="J68" s="236"/>
    </row>
    <row r="69" spans="1:10" ht="20.100000000000001" customHeight="1" x14ac:dyDescent="0.25">
      <c r="A69" s="233" t="s">
        <v>353</v>
      </c>
      <c r="B69" s="234" t="s">
        <v>354</v>
      </c>
      <c r="C69" s="234"/>
      <c r="D69" s="234"/>
      <c r="E69" s="235">
        <v>52.6</v>
      </c>
      <c r="F69" s="236" t="s">
        <v>355</v>
      </c>
      <c r="G69" s="236"/>
      <c r="H69" s="236"/>
      <c r="I69" s="236"/>
      <c r="J69" s="236"/>
    </row>
    <row r="70" spans="1:10" ht="20.100000000000001" customHeight="1" x14ac:dyDescent="0.25">
      <c r="A70" s="233"/>
      <c r="B70" s="234"/>
      <c r="C70" s="234"/>
      <c r="D70" s="234"/>
      <c r="E70" s="235"/>
      <c r="F70" s="236"/>
      <c r="G70" s="236"/>
      <c r="H70" s="236"/>
      <c r="I70" s="236"/>
      <c r="J70" s="236"/>
    </row>
    <row r="71" spans="1:10" ht="20.100000000000001" customHeight="1" x14ac:dyDescent="0.25">
      <c r="A71" s="233"/>
      <c r="B71" s="234"/>
      <c r="C71" s="234"/>
      <c r="D71" s="234"/>
      <c r="E71" s="235"/>
      <c r="F71" s="236"/>
      <c r="G71" s="236"/>
      <c r="H71" s="236"/>
      <c r="I71" s="236"/>
      <c r="J71" s="236"/>
    </row>
    <row r="72" spans="1:10" ht="20.100000000000001" customHeight="1" x14ac:dyDescent="0.25">
      <c r="A72" s="233"/>
      <c r="B72" s="234"/>
      <c r="C72" s="234"/>
      <c r="D72" s="234"/>
      <c r="E72" s="235"/>
      <c r="F72" s="236"/>
      <c r="G72" s="236"/>
      <c r="H72" s="236"/>
      <c r="I72" s="236"/>
      <c r="J72" s="236"/>
    </row>
    <row r="73" spans="1:10" ht="20.100000000000001" customHeight="1" x14ac:dyDescent="0.25">
      <c r="A73" s="233"/>
      <c r="B73" s="234"/>
      <c r="C73" s="234"/>
      <c r="D73" s="234"/>
      <c r="E73" s="235"/>
      <c r="F73" s="236"/>
      <c r="G73" s="236"/>
      <c r="H73" s="236"/>
      <c r="I73" s="236"/>
      <c r="J73" s="236"/>
    </row>
    <row r="74" spans="1:10" ht="20.100000000000001" customHeight="1" x14ac:dyDescent="0.25">
      <c r="A74" s="233"/>
      <c r="B74" s="234"/>
      <c r="C74" s="234"/>
      <c r="D74" s="234"/>
      <c r="E74" s="235"/>
      <c r="F74" s="236"/>
      <c r="G74" s="236"/>
      <c r="H74" s="236"/>
      <c r="I74" s="236"/>
      <c r="J74" s="236"/>
    </row>
    <row r="75" spans="1:10" ht="20.100000000000001" customHeight="1" x14ac:dyDescent="0.25">
      <c r="A75" s="233" t="s">
        <v>356</v>
      </c>
      <c r="B75" s="234" t="s">
        <v>357</v>
      </c>
      <c r="C75" s="234"/>
      <c r="D75" s="234"/>
      <c r="E75" s="235">
        <v>75.2</v>
      </c>
      <c r="F75" s="236" t="s">
        <v>358</v>
      </c>
      <c r="G75" s="236"/>
      <c r="H75" s="236"/>
      <c r="I75" s="236"/>
      <c r="J75" s="236"/>
    </row>
    <row r="76" spans="1:10" ht="20.100000000000001" customHeight="1" x14ac:dyDescent="0.25">
      <c r="A76" s="233"/>
      <c r="B76" s="234"/>
      <c r="C76" s="234"/>
      <c r="D76" s="234"/>
      <c r="E76" s="235"/>
      <c r="F76" s="236"/>
      <c r="G76" s="236"/>
      <c r="H76" s="236"/>
      <c r="I76" s="236"/>
      <c r="J76" s="236"/>
    </row>
    <row r="77" spans="1:10" ht="20.100000000000001" customHeight="1" x14ac:dyDescent="0.25">
      <c r="A77" s="233"/>
      <c r="B77" s="234"/>
      <c r="C77" s="234"/>
      <c r="D77" s="234"/>
      <c r="E77" s="235"/>
      <c r="F77" s="236"/>
      <c r="G77" s="236"/>
      <c r="H77" s="236"/>
      <c r="I77" s="236"/>
      <c r="J77" s="236"/>
    </row>
    <row r="78" spans="1:10" ht="20.100000000000001" customHeight="1" x14ac:dyDescent="0.25">
      <c r="A78" s="233"/>
      <c r="B78" s="234"/>
      <c r="C78" s="234"/>
      <c r="D78" s="234"/>
      <c r="E78" s="235"/>
      <c r="F78" s="236"/>
      <c r="G78" s="236"/>
      <c r="H78" s="236"/>
      <c r="I78" s="236"/>
      <c r="J78" s="236"/>
    </row>
    <row r="79" spans="1:10" ht="20.100000000000001" customHeight="1" thickBot="1" x14ac:dyDescent="0.3">
      <c r="A79" s="29" t="s">
        <v>82</v>
      </c>
      <c r="B79" s="231" t="s">
        <v>359</v>
      </c>
      <c r="C79" s="231"/>
      <c r="D79" s="231"/>
      <c r="E79" s="30">
        <v>100</v>
      </c>
      <c r="F79" s="232" t="s">
        <v>360</v>
      </c>
      <c r="G79" s="232"/>
      <c r="H79" s="232"/>
      <c r="I79" s="232"/>
      <c r="J79" s="232"/>
    </row>
    <row r="80" spans="1:10" ht="20.100000000000001" customHeight="1" x14ac:dyDescent="0.25">
      <c r="A80" s="1"/>
      <c r="B80" s="1"/>
      <c r="C80" s="1"/>
      <c r="D80" s="1"/>
    </row>
    <row r="81" spans="1:10" ht="20.100000000000001" customHeight="1" x14ac:dyDescent="0.25">
      <c r="A81" s="217" t="s">
        <v>80</v>
      </c>
      <c r="B81" s="217"/>
      <c r="C81" s="217"/>
      <c r="D81" s="217"/>
      <c r="E81" s="217"/>
      <c r="F81" s="217"/>
      <c r="G81" s="217"/>
      <c r="H81" s="217"/>
      <c r="I81" s="217"/>
      <c r="J81" s="217"/>
    </row>
    <row r="82" spans="1:10" ht="20.100000000000001" customHeight="1" x14ac:dyDescent="0.25">
      <c r="A82" s="217" t="s">
        <v>361</v>
      </c>
      <c r="B82" s="217"/>
      <c r="C82" s="217"/>
      <c r="D82" s="217"/>
      <c r="E82" s="217"/>
      <c r="F82" s="217"/>
      <c r="G82" s="217"/>
      <c r="H82" s="217"/>
      <c r="I82" s="217"/>
      <c r="J82" s="217"/>
    </row>
    <row r="83" spans="1:10" ht="20.100000000000001" customHeight="1" x14ac:dyDescent="0.25">
      <c r="A83" s="217" t="s">
        <v>362</v>
      </c>
      <c r="B83" s="217"/>
      <c r="C83" s="217"/>
      <c r="D83" s="217"/>
      <c r="E83" s="217"/>
      <c r="F83" s="217"/>
      <c r="G83" s="217"/>
      <c r="H83" s="217"/>
      <c r="I83" s="217"/>
      <c r="J83" s="217"/>
    </row>
    <row r="84" spans="1:10" ht="20.100000000000001" customHeight="1" x14ac:dyDescent="0.25">
      <c r="A84" s="217" t="s">
        <v>363</v>
      </c>
      <c r="B84" s="217"/>
      <c r="C84" s="217"/>
      <c r="D84" s="217"/>
      <c r="E84" s="217"/>
      <c r="F84" s="217"/>
      <c r="G84" s="217"/>
      <c r="H84" s="217"/>
      <c r="I84" s="217"/>
      <c r="J84" s="217"/>
    </row>
    <row r="86" spans="1:10" ht="20.100000000000001" customHeight="1" x14ac:dyDescent="0.25">
      <c r="A86" s="217" t="s">
        <v>304</v>
      </c>
      <c r="B86" s="217"/>
      <c r="C86" s="217"/>
      <c r="D86" s="217"/>
      <c r="E86" s="217"/>
      <c r="F86" s="217"/>
      <c r="G86" s="217"/>
      <c r="H86" s="217"/>
      <c r="I86" s="217"/>
      <c r="J86" s="217"/>
    </row>
    <row r="87" spans="1:10" ht="20.100000000000001" customHeight="1" x14ac:dyDescent="0.25">
      <c r="A87" s="217" t="s">
        <v>364</v>
      </c>
      <c r="B87" s="217"/>
      <c r="C87" s="217"/>
      <c r="D87" s="217"/>
      <c r="E87" s="217"/>
      <c r="F87" s="217"/>
      <c r="G87" s="217"/>
      <c r="H87" s="217"/>
      <c r="I87" s="217"/>
      <c r="J87" s="217"/>
    </row>
    <row r="88" spans="1:10" ht="20.100000000000001" customHeight="1" x14ac:dyDescent="0.25">
      <c r="A88" s="217"/>
      <c r="B88" s="217"/>
      <c r="C88" s="217"/>
      <c r="D88" s="217"/>
      <c r="E88" s="217"/>
      <c r="F88" s="217"/>
      <c r="G88" s="217"/>
      <c r="H88" s="217"/>
      <c r="I88" s="217"/>
      <c r="J88" s="217"/>
    </row>
    <row r="89" spans="1:10" ht="20.100000000000001" customHeight="1" x14ac:dyDescent="0.25">
      <c r="A89" s="217"/>
      <c r="B89" s="217"/>
      <c r="C89" s="217"/>
      <c r="D89" s="217"/>
      <c r="E89" s="217"/>
      <c r="F89" s="217"/>
      <c r="G89" s="217"/>
      <c r="H89" s="217"/>
      <c r="I89" s="217"/>
      <c r="J89" s="217"/>
    </row>
    <row r="92" spans="1:10" ht="20.100000000000001" customHeight="1" x14ac:dyDescent="0.25">
      <c r="A92" s="230" t="s">
        <v>365</v>
      </c>
      <c r="B92" s="230"/>
      <c r="C92" s="230"/>
      <c r="D92" s="230"/>
      <c r="E92" s="230"/>
      <c r="F92" s="230"/>
      <c r="G92" s="230"/>
      <c r="H92" s="230"/>
      <c r="I92" s="230"/>
      <c r="J92" s="230"/>
    </row>
    <row r="94" spans="1:10" ht="20.100000000000001" customHeight="1" x14ac:dyDescent="0.25">
      <c r="A94" s="217" t="s">
        <v>366</v>
      </c>
      <c r="B94" s="217"/>
      <c r="C94" s="217"/>
      <c r="D94" s="217"/>
      <c r="E94" s="217"/>
      <c r="F94" s="217"/>
      <c r="G94" s="217"/>
      <c r="H94" s="217"/>
      <c r="I94" s="217"/>
      <c r="J94" s="217"/>
    </row>
    <row r="95" spans="1:10" ht="20.100000000000001" customHeight="1" x14ac:dyDescent="0.25">
      <c r="A95" s="217"/>
      <c r="B95" s="217"/>
      <c r="C95" s="217"/>
      <c r="D95" s="217"/>
      <c r="E95" s="217"/>
      <c r="F95" s="217"/>
      <c r="G95" s="217"/>
      <c r="H95" s="217"/>
      <c r="I95" s="217"/>
      <c r="J95" s="217"/>
    </row>
    <row r="96" spans="1:10" ht="20.100000000000001" customHeight="1" x14ac:dyDescent="0.25">
      <c r="A96" s="217"/>
      <c r="B96" s="217"/>
      <c r="C96" s="217"/>
      <c r="D96" s="217"/>
      <c r="E96" s="217"/>
      <c r="F96" s="217"/>
      <c r="G96" s="217"/>
      <c r="H96" s="217"/>
      <c r="I96" s="217"/>
      <c r="J96" s="217"/>
    </row>
    <row r="97" spans="1:10" ht="20.100000000000001" customHeight="1" x14ac:dyDescent="0.25">
      <c r="A97" s="217"/>
      <c r="B97" s="217"/>
      <c r="C97" s="217"/>
      <c r="D97" s="217"/>
      <c r="E97" s="217"/>
      <c r="F97" s="217"/>
      <c r="G97" s="217"/>
      <c r="H97" s="217"/>
      <c r="I97" s="217"/>
      <c r="J97" s="217"/>
    </row>
    <row r="98" spans="1:10" ht="20.100000000000001" customHeight="1" x14ac:dyDescent="0.25">
      <c r="A98" s="217"/>
      <c r="B98" s="217"/>
      <c r="C98" s="217"/>
      <c r="D98" s="217"/>
      <c r="E98" s="217"/>
      <c r="F98" s="217"/>
      <c r="G98" s="217"/>
      <c r="H98" s="217"/>
      <c r="I98" s="217"/>
      <c r="J98" s="217"/>
    </row>
    <row r="99" spans="1:10" ht="20.100000000000001" customHeight="1" x14ac:dyDescent="0.25">
      <c r="A99" s="217"/>
      <c r="B99" s="217"/>
      <c r="C99" s="217"/>
      <c r="D99" s="217"/>
      <c r="E99" s="217"/>
      <c r="F99" s="217"/>
      <c r="G99" s="217"/>
      <c r="H99" s="217"/>
      <c r="I99" s="217"/>
      <c r="J99" s="217"/>
    </row>
    <row r="101" spans="1:10" ht="20.100000000000001" customHeight="1" x14ac:dyDescent="0.25">
      <c r="A101" s="224" t="s">
        <v>367</v>
      </c>
      <c r="B101" s="224"/>
      <c r="C101" s="224"/>
      <c r="D101" s="224"/>
      <c r="E101" s="224"/>
      <c r="F101" s="224"/>
      <c r="G101" s="224"/>
      <c r="H101" s="224"/>
      <c r="I101" s="224"/>
      <c r="J101" s="224"/>
    </row>
    <row r="102" spans="1:10" ht="20.100000000000001" customHeight="1" x14ac:dyDescent="0.25">
      <c r="A102" s="224"/>
      <c r="B102" s="224"/>
      <c r="C102" s="224"/>
      <c r="D102" s="224"/>
      <c r="E102" s="224"/>
      <c r="F102" s="224"/>
      <c r="G102" s="224"/>
      <c r="H102" s="224"/>
      <c r="I102" s="224"/>
      <c r="J102" s="224"/>
    </row>
    <row r="103" spans="1:10" ht="20.100000000000001" customHeight="1" x14ac:dyDescent="0.25">
      <c r="A103" s="224"/>
      <c r="B103" s="224"/>
      <c r="C103" s="224"/>
      <c r="D103" s="224"/>
      <c r="E103" s="224"/>
      <c r="F103" s="224"/>
      <c r="G103" s="224"/>
      <c r="H103" s="224"/>
      <c r="I103" s="224"/>
      <c r="J103" s="224"/>
    </row>
    <row r="104" spans="1:10" ht="20.100000000000001" customHeight="1" x14ac:dyDescent="0.25">
      <c r="A104" s="224" t="s">
        <v>368</v>
      </c>
      <c r="B104" s="224"/>
      <c r="C104" s="224" t="s">
        <v>369</v>
      </c>
      <c r="D104" s="224"/>
      <c r="E104" s="224" t="s">
        <v>370</v>
      </c>
      <c r="F104" s="224"/>
      <c r="G104" s="224" t="s">
        <v>371</v>
      </c>
      <c r="H104" s="224"/>
      <c r="I104" s="224"/>
      <c r="J104" s="224"/>
    </row>
    <row r="105" spans="1:10" ht="20.100000000000001" customHeight="1" x14ac:dyDescent="0.25">
      <c r="A105" s="224"/>
      <c r="B105" s="224"/>
      <c r="C105" s="224"/>
      <c r="D105" s="224"/>
      <c r="E105" s="224"/>
      <c r="F105" s="224"/>
      <c r="G105" s="224"/>
      <c r="H105" s="224"/>
      <c r="I105" s="224"/>
      <c r="J105" s="224"/>
    </row>
    <row r="106" spans="1:10" ht="20.100000000000001" customHeight="1" x14ac:dyDescent="0.25">
      <c r="A106" s="224"/>
      <c r="B106" s="224"/>
      <c r="C106" s="224"/>
      <c r="D106" s="224"/>
      <c r="E106" s="224"/>
      <c r="F106" s="224"/>
      <c r="G106" s="224" t="s">
        <v>372</v>
      </c>
      <c r="H106" s="224"/>
      <c r="I106" s="224" t="s">
        <v>373</v>
      </c>
      <c r="J106" s="224"/>
    </row>
    <row r="107" spans="1:10" ht="20.100000000000001" customHeight="1" x14ac:dyDescent="0.25">
      <c r="A107" s="228">
        <v>0</v>
      </c>
      <c r="B107" s="228"/>
      <c r="C107" s="222" t="s">
        <v>337</v>
      </c>
      <c r="D107" s="222"/>
      <c r="E107" s="229">
        <v>1</v>
      </c>
      <c r="F107" s="229"/>
      <c r="G107" s="229" t="s">
        <v>374</v>
      </c>
      <c r="H107" s="229"/>
      <c r="I107" s="229" t="s">
        <v>375</v>
      </c>
      <c r="J107" s="229"/>
    </row>
    <row r="108" spans="1:10" ht="20.100000000000001" customHeight="1" x14ac:dyDescent="0.25">
      <c r="A108" s="228">
        <v>-3.2000000000000002E-3</v>
      </c>
      <c r="B108" s="228"/>
      <c r="C108" s="222" t="s">
        <v>339</v>
      </c>
      <c r="D108" s="222"/>
      <c r="E108" s="229">
        <v>1.5</v>
      </c>
      <c r="F108" s="229"/>
      <c r="G108" s="229" t="s">
        <v>376</v>
      </c>
      <c r="H108" s="229"/>
      <c r="I108" s="229" t="s">
        <v>377</v>
      </c>
      <c r="J108" s="229"/>
    </row>
    <row r="109" spans="1:10" ht="20.100000000000001" customHeight="1" x14ac:dyDescent="0.25">
      <c r="A109" s="228">
        <v>-2.52E-2</v>
      </c>
      <c r="B109" s="228"/>
      <c r="C109" s="222" t="s">
        <v>342</v>
      </c>
      <c r="D109" s="222"/>
      <c r="E109" s="229">
        <v>2</v>
      </c>
      <c r="F109" s="229"/>
      <c r="G109" s="229" t="s">
        <v>68</v>
      </c>
      <c r="H109" s="229"/>
      <c r="I109" s="229" t="s">
        <v>339</v>
      </c>
      <c r="J109" s="229"/>
    </row>
    <row r="110" spans="1:10" ht="20.100000000000001" customHeight="1" x14ac:dyDescent="0.25">
      <c r="A110" s="228">
        <v>-8.09E-2</v>
      </c>
      <c r="B110" s="228"/>
      <c r="C110" s="222" t="s">
        <v>344</v>
      </c>
      <c r="D110" s="222"/>
      <c r="E110" s="229">
        <v>2.5</v>
      </c>
      <c r="F110" s="229"/>
      <c r="G110" s="229" t="s">
        <v>378</v>
      </c>
      <c r="H110" s="229"/>
      <c r="I110" s="229" t="s">
        <v>82</v>
      </c>
      <c r="J110" s="229"/>
    </row>
    <row r="111" spans="1:10" ht="20.100000000000001" customHeight="1" x14ac:dyDescent="0.25">
      <c r="A111" s="228">
        <v>-0.18099999999999999</v>
      </c>
      <c r="B111" s="228"/>
      <c r="C111" s="222" t="s">
        <v>347</v>
      </c>
      <c r="D111" s="222"/>
      <c r="E111" s="229">
        <v>3</v>
      </c>
      <c r="F111" s="229"/>
      <c r="G111" s="229" t="s">
        <v>7</v>
      </c>
      <c r="H111" s="229"/>
      <c r="I111" s="229" t="s">
        <v>379</v>
      </c>
      <c r="J111" s="229"/>
    </row>
    <row r="112" spans="1:10" ht="20.100000000000001" customHeight="1" x14ac:dyDescent="0.25">
      <c r="A112" s="228">
        <v>-0.33200000000000002</v>
      </c>
      <c r="B112" s="228"/>
      <c r="C112" s="222" t="s">
        <v>350</v>
      </c>
      <c r="D112" s="222"/>
      <c r="E112" s="229">
        <v>3.5</v>
      </c>
      <c r="F112" s="229"/>
      <c r="G112" s="229" t="s">
        <v>380</v>
      </c>
      <c r="H112" s="229"/>
      <c r="I112" s="229" t="s">
        <v>344</v>
      </c>
      <c r="J112" s="229"/>
    </row>
    <row r="113" spans="1:10" ht="20.100000000000001" customHeight="1" x14ac:dyDescent="0.25">
      <c r="A113" s="228">
        <v>-0.52600000000000002</v>
      </c>
      <c r="B113" s="228"/>
      <c r="C113" s="222" t="s">
        <v>353</v>
      </c>
      <c r="D113" s="222"/>
      <c r="E113" s="229">
        <v>4</v>
      </c>
      <c r="F113" s="229"/>
      <c r="G113" s="229" t="s">
        <v>381</v>
      </c>
      <c r="H113" s="229"/>
      <c r="I113" s="229" t="s">
        <v>382</v>
      </c>
      <c r="J113" s="229"/>
    </row>
    <row r="114" spans="1:10" ht="20.100000000000001" customHeight="1" x14ac:dyDescent="0.25">
      <c r="A114" s="228">
        <v>-0.752</v>
      </c>
      <c r="B114" s="228"/>
      <c r="C114" s="222" t="s">
        <v>356</v>
      </c>
      <c r="D114" s="222"/>
      <c r="E114" s="229">
        <v>4.5</v>
      </c>
      <c r="F114" s="229"/>
      <c r="G114" s="229" t="s">
        <v>383</v>
      </c>
      <c r="H114" s="229"/>
      <c r="I114" s="229" t="s">
        <v>384</v>
      </c>
      <c r="J114" s="229"/>
    </row>
    <row r="115" spans="1:10" ht="20.100000000000001" customHeight="1" x14ac:dyDescent="0.25">
      <c r="A115" s="228">
        <v>-1</v>
      </c>
      <c r="B115" s="228"/>
      <c r="C115" s="222" t="s">
        <v>82</v>
      </c>
      <c r="D115" s="222"/>
      <c r="E115" s="229">
        <v>5</v>
      </c>
      <c r="F115" s="229"/>
      <c r="G115" s="229" t="s">
        <v>385</v>
      </c>
      <c r="H115" s="229"/>
      <c r="I115" s="229" t="s">
        <v>386</v>
      </c>
      <c r="J115" s="229"/>
    </row>
    <row r="118" spans="1:10" ht="20.100000000000001" customHeight="1" x14ac:dyDescent="0.25">
      <c r="A118" s="224" t="s">
        <v>387</v>
      </c>
      <c r="B118" s="225" t="s">
        <v>388</v>
      </c>
      <c r="C118" s="226"/>
      <c r="D118" s="226"/>
      <c r="E118" s="226"/>
      <c r="F118" s="226"/>
      <c r="G118" s="226"/>
      <c r="H118" s="226"/>
      <c r="I118" s="226"/>
      <c r="J118" s="227"/>
    </row>
    <row r="119" spans="1:10" ht="20.100000000000001" customHeight="1" x14ac:dyDescent="0.25">
      <c r="A119" s="224"/>
      <c r="B119" s="222" t="s">
        <v>389</v>
      </c>
      <c r="C119" s="222"/>
      <c r="D119" s="222"/>
      <c r="E119" s="222"/>
      <c r="F119" s="222"/>
      <c r="G119" s="222"/>
      <c r="H119" s="222"/>
      <c r="I119" s="222"/>
      <c r="J119" s="222"/>
    </row>
    <row r="120" spans="1:10" ht="20.100000000000001" customHeight="1" x14ac:dyDescent="0.25">
      <c r="A120" s="224"/>
      <c r="B120" s="224" t="s">
        <v>390</v>
      </c>
      <c r="C120" s="224"/>
      <c r="D120" s="224"/>
      <c r="E120" s="224"/>
      <c r="F120" s="224"/>
      <c r="G120" s="224"/>
      <c r="H120" s="224"/>
      <c r="I120" s="224"/>
      <c r="J120" s="224"/>
    </row>
    <row r="121" spans="1:10" ht="20.100000000000001" customHeight="1" x14ac:dyDescent="0.25">
      <c r="A121" s="224"/>
      <c r="B121" s="31" t="s">
        <v>337</v>
      </c>
      <c r="C121" s="31" t="s">
        <v>339</v>
      </c>
      <c r="D121" s="31" t="s">
        <v>342</v>
      </c>
      <c r="E121" s="31" t="s">
        <v>344</v>
      </c>
      <c r="F121" s="31" t="s">
        <v>347</v>
      </c>
      <c r="G121" s="31" t="s">
        <v>350</v>
      </c>
      <c r="H121" s="31" t="s">
        <v>353</v>
      </c>
      <c r="I121" s="31" t="s">
        <v>356</v>
      </c>
      <c r="J121" s="31" t="s">
        <v>82</v>
      </c>
    </row>
    <row r="122" spans="1:10" ht="20.100000000000001" customHeight="1" x14ac:dyDescent="0.25">
      <c r="A122" s="32">
        <v>0</v>
      </c>
      <c r="B122" s="33">
        <v>0</v>
      </c>
      <c r="C122" s="33">
        <v>0.32</v>
      </c>
      <c r="D122" s="33">
        <v>2.52</v>
      </c>
      <c r="E122" s="33">
        <v>8.09</v>
      </c>
      <c r="F122" s="33">
        <v>18.100000000000001</v>
      </c>
      <c r="G122" s="33">
        <v>33.200000000000003</v>
      </c>
      <c r="H122" s="33">
        <v>52.6</v>
      </c>
      <c r="I122" s="33">
        <v>75.2</v>
      </c>
      <c r="J122" s="33">
        <v>100</v>
      </c>
    </row>
    <row r="123" spans="1:10" ht="20.100000000000001" customHeight="1" x14ac:dyDescent="0.25">
      <c r="A123" s="32">
        <f>A122+0.02</f>
        <v>0.02</v>
      </c>
      <c r="B123" s="33">
        <f>((1/2)*((A123)+(A123^2)))*100</f>
        <v>1.02</v>
      </c>
      <c r="C123" s="33">
        <f>$B123+((100-$B123)*C$122/100)</f>
        <v>1.3367360000000001</v>
      </c>
      <c r="D123" s="33">
        <f t="shared" ref="D123:J138" si="0">$B123+((100-$B123)*D$122/100)</f>
        <v>3.5142960000000003</v>
      </c>
      <c r="E123" s="33">
        <f t="shared" si="0"/>
        <v>9.0274819999999991</v>
      </c>
      <c r="F123" s="33">
        <f t="shared" si="0"/>
        <v>18.935380000000002</v>
      </c>
      <c r="G123" s="33">
        <f t="shared" si="0"/>
        <v>33.881360000000008</v>
      </c>
      <c r="H123" s="33">
        <f t="shared" si="0"/>
        <v>53.083480000000002</v>
      </c>
      <c r="I123" s="33">
        <f t="shared" si="0"/>
        <v>75.452960000000004</v>
      </c>
      <c r="J123" s="33">
        <f t="shared" si="0"/>
        <v>100</v>
      </c>
    </row>
    <row r="124" spans="1:10" ht="20.100000000000001" customHeight="1" x14ac:dyDescent="0.25">
      <c r="A124" s="32">
        <f t="shared" ref="A124:A172" si="1">A123+0.02</f>
        <v>0.04</v>
      </c>
      <c r="B124" s="33">
        <f t="shared" ref="B124:B172" si="2">((1/2)*((A124)+(A124^2)))*100</f>
        <v>2.08</v>
      </c>
      <c r="C124" s="33">
        <f t="shared" ref="C124:J155" si="3">$B124+((100-$B124)*C$122/100)</f>
        <v>2.3933439999999999</v>
      </c>
      <c r="D124" s="33">
        <f t="shared" si="0"/>
        <v>4.5475840000000005</v>
      </c>
      <c r="E124" s="33">
        <f t="shared" si="0"/>
        <v>10.001728</v>
      </c>
      <c r="F124" s="33">
        <f t="shared" si="0"/>
        <v>19.803519999999999</v>
      </c>
      <c r="G124" s="33">
        <f t="shared" si="0"/>
        <v>34.589440000000003</v>
      </c>
      <c r="H124" s="33">
        <f t="shared" si="0"/>
        <v>53.585920000000002</v>
      </c>
      <c r="I124" s="33">
        <f t="shared" si="0"/>
        <v>75.71584</v>
      </c>
      <c r="J124" s="33">
        <f t="shared" si="0"/>
        <v>100</v>
      </c>
    </row>
    <row r="125" spans="1:10" ht="20.100000000000001" customHeight="1" x14ac:dyDescent="0.25">
      <c r="A125" s="32">
        <f t="shared" si="1"/>
        <v>0.06</v>
      </c>
      <c r="B125" s="33">
        <f t="shared" si="2"/>
        <v>3.18</v>
      </c>
      <c r="C125" s="33">
        <f t="shared" si="3"/>
        <v>3.489824</v>
      </c>
      <c r="D125" s="33">
        <f t="shared" si="0"/>
        <v>5.6198639999999997</v>
      </c>
      <c r="E125" s="33">
        <f t="shared" si="0"/>
        <v>11.012737999999999</v>
      </c>
      <c r="F125" s="33">
        <f t="shared" si="0"/>
        <v>20.704419999999999</v>
      </c>
      <c r="G125" s="33">
        <f t="shared" si="0"/>
        <v>35.324239999999996</v>
      </c>
      <c r="H125" s="33">
        <f t="shared" si="0"/>
        <v>54.107320000000001</v>
      </c>
      <c r="I125" s="33">
        <f t="shared" si="0"/>
        <v>75.988640000000004</v>
      </c>
      <c r="J125" s="33">
        <f t="shared" si="0"/>
        <v>100</v>
      </c>
    </row>
    <row r="126" spans="1:10" ht="20.100000000000001" customHeight="1" x14ac:dyDescent="0.25">
      <c r="A126" s="32">
        <f t="shared" si="1"/>
        <v>0.08</v>
      </c>
      <c r="B126" s="33">
        <f t="shared" si="2"/>
        <v>4.32</v>
      </c>
      <c r="C126" s="33">
        <f t="shared" si="3"/>
        <v>4.6261760000000001</v>
      </c>
      <c r="D126" s="33">
        <f t="shared" si="0"/>
        <v>6.7311360000000011</v>
      </c>
      <c r="E126" s="33">
        <f t="shared" si="0"/>
        <v>12.060511999999999</v>
      </c>
      <c r="F126" s="33">
        <f t="shared" si="0"/>
        <v>21.638080000000002</v>
      </c>
      <c r="G126" s="33">
        <f t="shared" si="0"/>
        <v>36.085760000000008</v>
      </c>
      <c r="H126" s="33">
        <f t="shared" si="0"/>
        <v>54.647680000000008</v>
      </c>
      <c r="I126" s="33">
        <f t="shared" si="0"/>
        <v>76.271360000000016</v>
      </c>
      <c r="J126" s="33">
        <f t="shared" si="0"/>
        <v>100</v>
      </c>
    </row>
    <row r="127" spans="1:10" ht="20.100000000000001" customHeight="1" x14ac:dyDescent="0.25">
      <c r="A127" s="32">
        <f t="shared" si="1"/>
        <v>0.1</v>
      </c>
      <c r="B127" s="33">
        <f t="shared" si="2"/>
        <v>5.5000000000000009</v>
      </c>
      <c r="C127" s="33">
        <f t="shared" si="3"/>
        <v>5.8024000000000004</v>
      </c>
      <c r="D127" s="33">
        <f t="shared" si="0"/>
        <v>7.8814000000000011</v>
      </c>
      <c r="E127" s="33">
        <f t="shared" si="0"/>
        <v>13.145050000000001</v>
      </c>
      <c r="F127" s="33">
        <f t="shared" si="0"/>
        <v>22.604500000000002</v>
      </c>
      <c r="G127" s="33">
        <f t="shared" si="0"/>
        <v>36.874000000000002</v>
      </c>
      <c r="H127" s="33">
        <f t="shared" si="0"/>
        <v>55.207000000000001</v>
      </c>
      <c r="I127" s="33">
        <f t="shared" si="0"/>
        <v>76.564000000000007</v>
      </c>
      <c r="J127" s="33">
        <f t="shared" si="0"/>
        <v>100</v>
      </c>
    </row>
    <row r="128" spans="1:10" ht="20.100000000000001" customHeight="1" x14ac:dyDescent="0.25">
      <c r="A128" s="32">
        <f t="shared" si="1"/>
        <v>0.12000000000000001</v>
      </c>
      <c r="B128" s="33">
        <f t="shared" si="2"/>
        <v>6.7200000000000006</v>
      </c>
      <c r="C128" s="33">
        <f t="shared" si="3"/>
        <v>7.0184960000000007</v>
      </c>
      <c r="D128" s="33">
        <f t="shared" si="0"/>
        <v>9.0706560000000014</v>
      </c>
      <c r="E128" s="33">
        <f t="shared" si="0"/>
        <v>14.266352000000001</v>
      </c>
      <c r="F128" s="33">
        <f t="shared" si="0"/>
        <v>23.603680000000004</v>
      </c>
      <c r="G128" s="33">
        <f t="shared" si="0"/>
        <v>37.688960000000002</v>
      </c>
      <c r="H128" s="33">
        <f t="shared" si="0"/>
        <v>55.78528</v>
      </c>
      <c r="I128" s="33">
        <f t="shared" si="0"/>
        <v>76.866559999999993</v>
      </c>
      <c r="J128" s="33">
        <f t="shared" si="0"/>
        <v>100</v>
      </c>
    </row>
    <row r="129" spans="1:10" ht="20.100000000000001" customHeight="1" x14ac:dyDescent="0.25">
      <c r="A129" s="32">
        <f t="shared" si="1"/>
        <v>0.14000000000000001</v>
      </c>
      <c r="B129" s="33">
        <f t="shared" si="2"/>
        <v>7.9800000000000013</v>
      </c>
      <c r="C129" s="33">
        <f t="shared" si="3"/>
        <v>8.2744640000000018</v>
      </c>
      <c r="D129" s="33">
        <f t="shared" si="0"/>
        <v>10.298904</v>
      </c>
      <c r="E129" s="33">
        <f t="shared" si="0"/>
        <v>15.424418000000001</v>
      </c>
      <c r="F129" s="33">
        <f t="shared" si="0"/>
        <v>24.635620000000003</v>
      </c>
      <c r="G129" s="33">
        <f t="shared" si="0"/>
        <v>38.530640000000005</v>
      </c>
      <c r="H129" s="33">
        <f t="shared" si="0"/>
        <v>56.38252</v>
      </c>
      <c r="I129" s="33">
        <f t="shared" si="0"/>
        <v>77.179040000000001</v>
      </c>
      <c r="J129" s="33">
        <f t="shared" si="0"/>
        <v>100</v>
      </c>
    </row>
    <row r="130" spans="1:10" ht="20.100000000000001" customHeight="1" x14ac:dyDescent="0.25">
      <c r="A130" s="32">
        <f t="shared" si="1"/>
        <v>0.16</v>
      </c>
      <c r="B130" s="33">
        <f t="shared" si="2"/>
        <v>9.2800000000000011</v>
      </c>
      <c r="C130" s="33">
        <f t="shared" si="3"/>
        <v>9.5703040000000019</v>
      </c>
      <c r="D130" s="33">
        <f t="shared" si="0"/>
        <v>11.566144000000001</v>
      </c>
      <c r="E130" s="33">
        <f t="shared" si="0"/>
        <v>16.619248000000002</v>
      </c>
      <c r="F130" s="33">
        <f t="shared" si="0"/>
        <v>25.700320000000001</v>
      </c>
      <c r="G130" s="33">
        <f t="shared" si="0"/>
        <v>39.399039999999999</v>
      </c>
      <c r="H130" s="33">
        <f t="shared" si="0"/>
        <v>56.998720000000006</v>
      </c>
      <c r="I130" s="33">
        <f t="shared" si="0"/>
        <v>77.501440000000002</v>
      </c>
      <c r="J130" s="33">
        <f t="shared" si="0"/>
        <v>100</v>
      </c>
    </row>
    <row r="131" spans="1:10" ht="20.100000000000001" customHeight="1" x14ac:dyDescent="0.25">
      <c r="A131" s="32">
        <f t="shared" si="1"/>
        <v>0.18</v>
      </c>
      <c r="B131" s="33">
        <f t="shared" si="2"/>
        <v>10.62</v>
      </c>
      <c r="C131" s="33">
        <f t="shared" si="3"/>
        <v>10.906015999999999</v>
      </c>
      <c r="D131" s="33">
        <f t="shared" si="0"/>
        <v>12.872375999999999</v>
      </c>
      <c r="E131" s="33">
        <f t="shared" si="0"/>
        <v>17.850842</v>
      </c>
      <c r="F131" s="33">
        <f t="shared" si="0"/>
        <v>26.797779999999996</v>
      </c>
      <c r="G131" s="33">
        <f t="shared" si="0"/>
        <v>40.294159999999998</v>
      </c>
      <c r="H131" s="33">
        <f t="shared" si="0"/>
        <v>57.633879999999998</v>
      </c>
      <c r="I131" s="33">
        <f t="shared" si="0"/>
        <v>77.833760000000012</v>
      </c>
      <c r="J131" s="33">
        <f t="shared" si="0"/>
        <v>100</v>
      </c>
    </row>
    <row r="132" spans="1:10" ht="20.100000000000001" customHeight="1" x14ac:dyDescent="0.25">
      <c r="A132" s="32">
        <f t="shared" si="1"/>
        <v>0.19999999999999998</v>
      </c>
      <c r="B132" s="33">
        <f t="shared" si="2"/>
        <v>12</v>
      </c>
      <c r="C132" s="33">
        <f t="shared" si="3"/>
        <v>12.281599999999999</v>
      </c>
      <c r="D132" s="33">
        <f t="shared" si="0"/>
        <v>14.217600000000001</v>
      </c>
      <c r="E132" s="33">
        <f t="shared" si="0"/>
        <v>19.119199999999999</v>
      </c>
      <c r="F132" s="33">
        <f t="shared" si="0"/>
        <v>27.928000000000004</v>
      </c>
      <c r="G132" s="33">
        <f t="shared" si="0"/>
        <v>41.216000000000008</v>
      </c>
      <c r="H132" s="33">
        <f t="shared" si="0"/>
        <v>58.288000000000004</v>
      </c>
      <c r="I132" s="33">
        <f t="shared" si="0"/>
        <v>78.176000000000002</v>
      </c>
      <c r="J132" s="33">
        <f t="shared" si="0"/>
        <v>100</v>
      </c>
    </row>
    <row r="133" spans="1:10" ht="20.100000000000001" customHeight="1" x14ac:dyDescent="0.25">
      <c r="A133" s="32">
        <f t="shared" si="1"/>
        <v>0.21999999999999997</v>
      </c>
      <c r="B133" s="33">
        <f t="shared" si="2"/>
        <v>13.419999999999998</v>
      </c>
      <c r="C133" s="33">
        <f t="shared" si="3"/>
        <v>13.697055999999998</v>
      </c>
      <c r="D133" s="33">
        <f t="shared" si="0"/>
        <v>15.601815999999998</v>
      </c>
      <c r="E133" s="33">
        <f t="shared" si="0"/>
        <v>20.424321999999997</v>
      </c>
      <c r="F133" s="33">
        <f t="shared" si="0"/>
        <v>29.090980000000002</v>
      </c>
      <c r="G133" s="33">
        <f t="shared" si="0"/>
        <v>42.164559999999994</v>
      </c>
      <c r="H133" s="33">
        <f t="shared" si="0"/>
        <v>58.961079999999995</v>
      </c>
      <c r="I133" s="33">
        <f t="shared" si="0"/>
        <v>78.52816</v>
      </c>
      <c r="J133" s="33">
        <f t="shared" si="0"/>
        <v>100</v>
      </c>
    </row>
    <row r="134" spans="1:10" ht="20.100000000000001" customHeight="1" x14ac:dyDescent="0.25">
      <c r="A134" s="32">
        <f t="shared" si="1"/>
        <v>0.23999999999999996</v>
      </c>
      <c r="B134" s="33">
        <f t="shared" si="2"/>
        <v>14.879999999999999</v>
      </c>
      <c r="C134" s="33">
        <f t="shared" si="3"/>
        <v>15.152384</v>
      </c>
      <c r="D134" s="33">
        <f t="shared" si="0"/>
        <v>17.025023999999998</v>
      </c>
      <c r="E134" s="33">
        <f t="shared" si="0"/>
        <v>21.766207999999999</v>
      </c>
      <c r="F134" s="33">
        <f t="shared" si="0"/>
        <v>30.286720000000003</v>
      </c>
      <c r="G134" s="33">
        <f t="shared" si="0"/>
        <v>43.139840000000007</v>
      </c>
      <c r="H134" s="33">
        <f t="shared" si="0"/>
        <v>59.653120000000001</v>
      </c>
      <c r="I134" s="33">
        <f t="shared" si="0"/>
        <v>78.890240000000006</v>
      </c>
      <c r="J134" s="33">
        <f t="shared" si="0"/>
        <v>100</v>
      </c>
    </row>
    <row r="135" spans="1:10" ht="20.100000000000001" customHeight="1" x14ac:dyDescent="0.25">
      <c r="A135" s="32">
        <f t="shared" si="1"/>
        <v>0.25999999999999995</v>
      </c>
      <c r="B135" s="33">
        <f t="shared" si="2"/>
        <v>16.38</v>
      </c>
      <c r="C135" s="33">
        <f t="shared" si="3"/>
        <v>16.647583999999998</v>
      </c>
      <c r="D135" s="33">
        <f t="shared" si="0"/>
        <v>18.487223999999998</v>
      </c>
      <c r="E135" s="33">
        <f t="shared" si="0"/>
        <v>23.144857999999999</v>
      </c>
      <c r="F135" s="33">
        <f t="shared" si="0"/>
        <v>31.515219999999999</v>
      </c>
      <c r="G135" s="33">
        <f t="shared" si="0"/>
        <v>44.141840000000002</v>
      </c>
      <c r="H135" s="33">
        <f t="shared" si="0"/>
        <v>60.36412</v>
      </c>
      <c r="I135" s="33">
        <f t="shared" si="0"/>
        <v>79.262240000000006</v>
      </c>
      <c r="J135" s="33">
        <f t="shared" si="0"/>
        <v>100</v>
      </c>
    </row>
    <row r="136" spans="1:10" ht="20.100000000000001" customHeight="1" x14ac:dyDescent="0.25">
      <c r="A136" s="32">
        <f t="shared" si="1"/>
        <v>0.27999999999999997</v>
      </c>
      <c r="B136" s="33">
        <f t="shared" si="2"/>
        <v>17.919999999999998</v>
      </c>
      <c r="C136" s="33">
        <f t="shared" si="3"/>
        <v>18.182655999999998</v>
      </c>
      <c r="D136" s="33">
        <f t="shared" si="0"/>
        <v>19.988415999999997</v>
      </c>
      <c r="E136" s="33">
        <f t="shared" si="0"/>
        <v>24.560271999999998</v>
      </c>
      <c r="F136" s="33">
        <f t="shared" si="0"/>
        <v>32.776479999999999</v>
      </c>
      <c r="G136" s="33">
        <f t="shared" si="0"/>
        <v>45.170559999999995</v>
      </c>
      <c r="H136" s="33">
        <f t="shared" si="0"/>
        <v>61.094080000000005</v>
      </c>
      <c r="I136" s="33">
        <f t="shared" si="0"/>
        <v>79.644159999999999</v>
      </c>
      <c r="J136" s="33">
        <f t="shared" si="0"/>
        <v>100</v>
      </c>
    </row>
    <row r="137" spans="1:10" ht="20.100000000000001" customHeight="1" x14ac:dyDescent="0.25">
      <c r="A137" s="32">
        <f t="shared" si="1"/>
        <v>0.3</v>
      </c>
      <c r="B137" s="33">
        <f t="shared" si="2"/>
        <v>19.5</v>
      </c>
      <c r="C137" s="33">
        <f t="shared" si="3"/>
        <v>19.7576</v>
      </c>
      <c r="D137" s="33">
        <f t="shared" si="0"/>
        <v>21.528600000000001</v>
      </c>
      <c r="E137" s="33">
        <f t="shared" si="0"/>
        <v>26.012450000000001</v>
      </c>
      <c r="F137" s="33">
        <f t="shared" si="0"/>
        <v>34.070500000000003</v>
      </c>
      <c r="G137" s="33">
        <f t="shared" si="0"/>
        <v>46.225999999999999</v>
      </c>
      <c r="H137" s="33">
        <f t="shared" si="0"/>
        <v>61.843000000000004</v>
      </c>
      <c r="I137" s="33">
        <f t="shared" si="0"/>
        <v>80.036000000000001</v>
      </c>
      <c r="J137" s="33">
        <f t="shared" si="0"/>
        <v>100</v>
      </c>
    </row>
    <row r="138" spans="1:10" ht="20.100000000000001" customHeight="1" x14ac:dyDescent="0.25">
      <c r="A138" s="32">
        <f t="shared" si="1"/>
        <v>0.32</v>
      </c>
      <c r="B138" s="33">
        <f t="shared" si="2"/>
        <v>21.12</v>
      </c>
      <c r="C138" s="33">
        <f t="shared" si="3"/>
        <v>21.372416000000001</v>
      </c>
      <c r="D138" s="33">
        <f t="shared" si="0"/>
        <v>23.107776000000001</v>
      </c>
      <c r="E138" s="33">
        <f t="shared" si="0"/>
        <v>27.501392000000003</v>
      </c>
      <c r="F138" s="33">
        <f t="shared" si="0"/>
        <v>35.397280000000002</v>
      </c>
      <c r="G138" s="33">
        <f t="shared" si="0"/>
        <v>47.308160000000001</v>
      </c>
      <c r="H138" s="33">
        <f t="shared" si="0"/>
        <v>62.610879999999995</v>
      </c>
      <c r="I138" s="33">
        <f t="shared" si="0"/>
        <v>80.437759999999997</v>
      </c>
      <c r="J138" s="33">
        <f t="shared" si="0"/>
        <v>100</v>
      </c>
    </row>
    <row r="139" spans="1:10" ht="20.100000000000001" customHeight="1" x14ac:dyDescent="0.25">
      <c r="A139" s="32">
        <f t="shared" si="1"/>
        <v>0.34</v>
      </c>
      <c r="B139" s="33">
        <f t="shared" si="2"/>
        <v>22.780000000000005</v>
      </c>
      <c r="C139" s="33">
        <f t="shared" si="3"/>
        <v>23.027104000000005</v>
      </c>
      <c r="D139" s="33">
        <f t="shared" si="3"/>
        <v>24.725944000000005</v>
      </c>
      <c r="E139" s="33">
        <f t="shared" si="3"/>
        <v>29.027098000000002</v>
      </c>
      <c r="F139" s="33">
        <f t="shared" si="3"/>
        <v>36.756820000000005</v>
      </c>
      <c r="G139" s="33">
        <f t="shared" si="3"/>
        <v>48.417040000000007</v>
      </c>
      <c r="H139" s="33">
        <f t="shared" si="3"/>
        <v>63.397720000000007</v>
      </c>
      <c r="I139" s="33">
        <f t="shared" si="3"/>
        <v>80.849440000000016</v>
      </c>
      <c r="J139" s="33">
        <f t="shared" si="3"/>
        <v>100</v>
      </c>
    </row>
    <row r="140" spans="1:10" ht="20.100000000000001" customHeight="1" x14ac:dyDescent="0.25">
      <c r="A140" s="32">
        <f t="shared" si="1"/>
        <v>0.36000000000000004</v>
      </c>
      <c r="B140" s="33">
        <f t="shared" si="2"/>
        <v>24.48</v>
      </c>
      <c r="C140" s="33">
        <f t="shared" si="3"/>
        <v>24.721664000000001</v>
      </c>
      <c r="D140" s="33">
        <f t="shared" si="3"/>
        <v>26.383103999999999</v>
      </c>
      <c r="E140" s="33">
        <f t="shared" si="3"/>
        <v>30.589568</v>
      </c>
      <c r="F140" s="33">
        <f t="shared" si="3"/>
        <v>38.149119999999996</v>
      </c>
      <c r="G140" s="33">
        <f t="shared" si="3"/>
        <v>49.552639999999997</v>
      </c>
      <c r="H140" s="33">
        <f t="shared" si="3"/>
        <v>64.203519999999997</v>
      </c>
      <c r="I140" s="33">
        <f t="shared" si="3"/>
        <v>81.271039999999999</v>
      </c>
      <c r="J140" s="33">
        <f t="shared" si="3"/>
        <v>100</v>
      </c>
    </row>
    <row r="141" spans="1:10" ht="20.100000000000001" customHeight="1" x14ac:dyDescent="0.25">
      <c r="A141" s="32">
        <f t="shared" si="1"/>
        <v>0.38000000000000006</v>
      </c>
      <c r="B141" s="33">
        <f t="shared" si="2"/>
        <v>26.220000000000006</v>
      </c>
      <c r="C141" s="33">
        <f t="shared" si="3"/>
        <v>26.456096000000006</v>
      </c>
      <c r="D141" s="33">
        <f t="shared" si="3"/>
        <v>28.079256000000004</v>
      </c>
      <c r="E141" s="33">
        <f t="shared" si="3"/>
        <v>32.188802000000003</v>
      </c>
      <c r="F141" s="33">
        <f t="shared" si="3"/>
        <v>39.574180000000005</v>
      </c>
      <c r="G141" s="33">
        <f t="shared" si="3"/>
        <v>50.714960000000005</v>
      </c>
      <c r="H141" s="33">
        <f t="shared" si="3"/>
        <v>65.028279999999995</v>
      </c>
      <c r="I141" s="33">
        <f t="shared" si="3"/>
        <v>81.702560000000005</v>
      </c>
      <c r="J141" s="33">
        <f t="shared" si="3"/>
        <v>100</v>
      </c>
    </row>
    <row r="142" spans="1:10" ht="20.100000000000001" customHeight="1" x14ac:dyDescent="0.25">
      <c r="A142" s="32">
        <f t="shared" si="1"/>
        <v>0.40000000000000008</v>
      </c>
      <c r="B142" s="33">
        <f t="shared" si="2"/>
        <v>28.000000000000007</v>
      </c>
      <c r="C142" s="33">
        <f t="shared" si="3"/>
        <v>28.230400000000007</v>
      </c>
      <c r="D142" s="33">
        <f t="shared" si="3"/>
        <v>29.814400000000006</v>
      </c>
      <c r="E142" s="33">
        <f t="shared" si="3"/>
        <v>33.82480000000001</v>
      </c>
      <c r="F142" s="33">
        <f t="shared" si="3"/>
        <v>41.032000000000011</v>
      </c>
      <c r="G142" s="33">
        <f t="shared" si="3"/>
        <v>51.904000000000011</v>
      </c>
      <c r="H142" s="33">
        <f t="shared" si="3"/>
        <v>65.872000000000014</v>
      </c>
      <c r="I142" s="33">
        <f t="shared" si="3"/>
        <v>82.144000000000005</v>
      </c>
      <c r="J142" s="33">
        <f t="shared" si="3"/>
        <v>100</v>
      </c>
    </row>
    <row r="143" spans="1:10" ht="20.100000000000001" customHeight="1" x14ac:dyDescent="0.25">
      <c r="A143" s="32">
        <f t="shared" si="1"/>
        <v>0.4200000000000001</v>
      </c>
      <c r="B143" s="33">
        <f t="shared" si="2"/>
        <v>29.820000000000007</v>
      </c>
      <c r="C143" s="33">
        <f t="shared" si="3"/>
        <v>30.044576000000006</v>
      </c>
      <c r="D143" s="33">
        <f t="shared" si="3"/>
        <v>31.588536000000008</v>
      </c>
      <c r="E143" s="33">
        <f t="shared" si="3"/>
        <v>35.497562000000009</v>
      </c>
      <c r="F143" s="33">
        <f t="shared" si="3"/>
        <v>42.522580000000005</v>
      </c>
      <c r="G143" s="33">
        <f t="shared" si="3"/>
        <v>53.119760000000014</v>
      </c>
      <c r="H143" s="33">
        <f t="shared" si="3"/>
        <v>66.734679999999997</v>
      </c>
      <c r="I143" s="33">
        <f t="shared" si="3"/>
        <v>82.595359999999999</v>
      </c>
      <c r="J143" s="33">
        <f t="shared" si="3"/>
        <v>100</v>
      </c>
    </row>
    <row r="144" spans="1:10" ht="20.100000000000001" customHeight="1" x14ac:dyDescent="0.25">
      <c r="A144" s="32">
        <f t="shared" si="1"/>
        <v>0.44000000000000011</v>
      </c>
      <c r="B144" s="33">
        <f t="shared" si="2"/>
        <v>31.680000000000007</v>
      </c>
      <c r="C144" s="33">
        <f t="shared" si="3"/>
        <v>31.898624000000005</v>
      </c>
      <c r="D144" s="33">
        <f t="shared" si="3"/>
        <v>33.401664000000004</v>
      </c>
      <c r="E144" s="33">
        <f t="shared" si="3"/>
        <v>37.207088000000006</v>
      </c>
      <c r="F144" s="33">
        <f t="shared" si="3"/>
        <v>44.04592000000001</v>
      </c>
      <c r="G144" s="33">
        <f t="shared" si="3"/>
        <v>54.362240000000007</v>
      </c>
      <c r="H144" s="33">
        <f t="shared" si="3"/>
        <v>67.616320000000002</v>
      </c>
      <c r="I144" s="33">
        <f t="shared" si="3"/>
        <v>83.056640000000002</v>
      </c>
      <c r="J144" s="33">
        <f t="shared" si="3"/>
        <v>100</v>
      </c>
    </row>
    <row r="145" spans="1:10" ht="20.100000000000001" customHeight="1" x14ac:dyDescent="0.25">
      <c r="A145" s="32">
        <f t="shared" si="1"/>
        <v>0.46000000000000013</v>
      </c>
      <c r="B145" s="33">
        <f t="shared" si="2"/>
        <v>33.580000000000013</v>
      </c>
      <c r="C145" s="33">
        <f t="shared" si="3"/>
        <v>33.792544000000014</v>
      </c>
      <c r="D145" s="33">
        <f t="shared" si="3"/>
        <v>35.25378400000001</v>
      </c>
      <c r="E145" s="33">
        <f t="shared" si="3"/>
        <v>38.953378000000015</v>
      </c>
      <c r="F145" s="33">
        <f t="shared" si="3"/>
        <v>45.60202000000001</v>
      </c>
      <c r="G145" s="33">
        <f t="shared" si="3"/>
        <v>55.631440000000012</v>
      </c>
      <c r="H145" s="33">
        <f t="shared" si="3"/>
        <v>68.516919999999999</v>
      </c>
      <c r="I145" s="33">
        <f t="shared" si="3"/>
        <v>83.527840000000012</v>
      </c>
      <c r="J145" s="33">
        <f t="shared" si="3"/>
        <v>100</v>
      </c>
    </row>
    <row r="146" spans="1:10" ht="20.100000000000001" customHeight="1" x14ac:dyDescent="0.25">
      <c r="A146" s="32">
        <f t="shared" si="1"/>
        <v>0.48000000000000015</v>
      </c>
      <c r="B146" s="33">
        <f t="shared" si="2"/>
        <v>35.52000000000001</v>
      </c>
      <c r="C146" s="33">
        <f t="shared" si="3"/>
        <v>35.726336000000011</v>
      </c>
      <c r="D146" s="33">
        <f t="shared" si="3"/>
        <v>37.14489600000001</v>
      </c>
      <c r="E146" s="33">
        <f t="shared" si="3"/>
        <v>40.736432000000008</v>
      </c>
      <c r="F146" s="33">
        <f t="shared" si="3"/>
        <v>47.190880000000007</v>
      </c>
      <c r="G146" s="33">
        <f t="shared" si="3"/>
        <v>56.927360000000007</v>
      </c>
      <c r="H146" s="33">
        <f t="shared" si="3"/>
        <v>69.436480000000017</v>
      </c>
      <c r="I146" s="33">
        <f t="shared" si="3"/>
        <v>84.008960000000002</v>
      </c>
      <c r="J146" s="33">
        <f t="shared" si="3"/>
        <v>100</v>
      </c>
    </row>
    <row r="147" spans="1:10" ht="20.100000000000001" customHeight="1" x14ac:dyDescent="0.25">
      <c r="A147" s="32">
        <f t="shared" si="1"/>
        <v>0.50000000000000011</v>
      </c>
      <c r="B147" s="33">
        <f t="shared" si="2"/>
        <v>37.500000000000014</v>
      </c>
      <c r="C147" s="33">
        <f t="shared" si="3"/>
        <v>37.700000000000017</v>
      </c>
      <c r="D147" s="33">
        <f t="shared" si="3"/>
        <v>39.075000000000017</v>
      </c>
      <c r="E147" s="33">
        <f t="shared" si="3"/>
        <v>42.556250000000013</v>
      </c>
      <c r="F147" s="33">
        <f t="shared" si="3"/>
        <v>48.812500000000014</v>
      </c>
      <c r="G147" s="33">
        <f t="shared" si="3"/>
        <v>58.250000000000014</v>
      </c>
      <c r="H147" s="33">
        <f t="shared" si="3"/>
        <v>70.375</v>
      </c>
      <c r="I147" s="33">
        <f t="shared" si="3"/>
        <v>84.5</v>
      </c>
      <c r="J147" s="33">
        <f t="shared" si="3"/>
        <v>100</v>
      </c>
    </row>
    <row r="148" spans="1:10" ht="20.100000000000001" customHeight="1" x14ac:dyDescent="0.25">
      <c r="A148" s="32">
        <f t="shared" si="1"/>
        <v>0.52000000000000013</v>
      </c>
      <c r="B148" s="33">
        <f t="shared" si="2"/>
        <v>39.52000000000001</v>
      </c>
      <c r="C148" s="33">
        <f t="shared" si="3"/>
        <v>39.713536000000012</v>
      </c>
      <c r="D148" s="33">
        <f t="shared" si="3"/>
        <v>41.04409600000001</v>
      </c>
      <c r="E148" s="33">
        <f t="shared" si="3"/>
        <v>44.412832000000009</v>
      </c>
      <c r="F148" s="33">
        <f t="shared" si="3"/>
        <v>50.46688000000001</v>
      </c>
      <c r="G148" s="33">
        <f t="shared" si="3"/>
        <v>59.599360000000004</v>
      </c>
      <c r="H148" s="33">
        <f t="shared" si="3"/>
        <v>71.332480000000004</v>
      </c>
      <c r="I148" s="33">
        <f t="shared" si="3"/>
        <v>85.000960000000006</v>
      </c>
      <c r="J148" s="33">
        <f t="shared" si="3"/>
        <v>100</v>
      </c>
    </row>
    <row r="149" spans="1:10" ht="20.100000000000001" customHeight="1" x14ac:dyDescent="0.25">
      <c r="A149" s="32">
        <f t="shared" si="1"/>
        <v>0.54000000000000015</v>
      </c>
      <c r="B149" s="33">
        <f t="shared" si="2"/>
        <v>41.58000000000002</v>
      </c>
      <c r="C149" s="33">
        <f t="shared" si="3"/>
        <v>41.766944000000017</v>
      </c>
      <c r="D149" s="33">
        <f t="shared" si="3"/>
        <v>43.052184000000018</v>
      </c>
      <c r="E149" s="33">
        <f t="shared" si="3"/>
        <v>46.306178000000017</v>
      </c>
      <c r="F149" s="33">
        <f t="shared" si="3"/>
        <v>52.154020000000017</v>
      </c>
      <c r="G149" s="33">
        <f t="shared" si="3"/>
        <v>60.975440000000013</v>
      </c>
      <c r="H149" s="33">
        <f t="shared" si="3"/>
        <v>72.308920000000001</v>
      </c>
      <c r="I149" s="33">
        <f t="shared" si="3"/>
        <v>85.511840000000007</v>
      </c>
      <c r="J149" s="33">
        <f t="shared" si="3"/>
        <v>100</v>
      </c>
    </row>
    <row r="150" spans="1:10" ht="20.100000000000001" customHeight="1" x14ac:dyDescent="0.25">
      <c r="A150" s="32">
        <f t="shared" si="1"/>
        <v>0.56000000000000016</v>
      </c>
      <c r="B150" s="33">
        <f t="shared" si="2"/>
        <v>43.680000000000021</v>
      </c>
      <c r="C150" s="33">
        <f t="shared" si="3"/>
        <v>43.860224000000024</v>
      </c>
      <c r="D150" s="33">
        <f t="shared" si="3"/>
        <v>45.099264000000019</v>
      </c>
      <c r="E150" s="33">
        <f t="shared" si="3"/>
        <v>48.236288000000016</v>
      </c>
      <c r="F150" s="33">
        <f t="shared" si="3"/>
        <v>53.87392000000002</v>
      </c>
      <c r="G150" s="33">
        <f t="shared" si="3"/>
        <v>62.378240000000019</v>
      </c>
      <c r="H150" s="33">
        <f t="shared" si="3"/>
        <v>73.304320000000018</v>
      </c>
      <c r="I150" s="33">
        <f t="shared" si="3"/>
        <v>86.032640000000001</v>
      </c>
      <c r="J150" s="33">
        <f t="shared" si="3"/>
        <v>100</v>
      </c>
    </row>
    <row r="151" spans="1:10" ht="20.100000000000001" customHeight="1" x14ac:dyDescent="0.25">
      <c r="A151" s="32">
        <f t="shared" si="1"/>
        <v>0.58000000000000018</v>
      </c>
      <c r="B151" s="33">
        <f t="shared" si="2"/>
        <v>45.820000000000014</v>
      </c>
      <c r="C151" s="33">
        <f t="shared" si="3"/>
        <v>45.993376000000012</v>
      </c>
      <c r="D151" s="33">
        <f t="shared" si="3"/>
        <v>47.185336000000014</v>
      </c>
      <c r="E151" s="33">
        <f t="shared" si="3"/>
        <v>50.203162000000013</v>
      </c>
      <c r="F151" s="33">
        <f t="shared" si="3"/>
        <v>55.626580000000011</v>
      </c>
      <c r="G151" s="33">
        <f t="shared" si="3"/>
        <v>63.807760000000009</v>
      </c>
      <c r="H151" s="33">
        <f t="shared" si="3"/>
        <v>74.318680000000001</v>
      </c>
      <c r="I151" s="33">
        <f t="shared" si="3"/>
        <v>86.563360000000003</v>
      </c>
      <c r="J151" s="33">
        <f t="shared" si="3"/>
        <v>100</v>
      </c>
    </row>
    <row r="152" spans="1:10" ht="20.100000000000001" customHeight="1" x14ac:dyDescent="0.25">
      <c r="A152" s="32">
        <f t="shared" si="1"/>
        <v>0.6000000000000002</v>
      </c>
      <c r="B152" s="33">
        <f t="shared" si="2"/>
        <v>48.000000000000021</v>
      </c>
      <c r="C152" s="33">
        <f t="shared" si="3"/>
        <v>48.166400000000024</v>
      </c>
      <c r="D152" s="33">
        <f t="shared" si="3"/>
        <v>49.310400000000023</v>
      </c>
      <c r="E152" s="33">
        <f t="shared" si="3"/>
        <v>52.206800000000023</v>
      </c>
      <c r="F152" s="33">
        <f t="shared" si="3"/>
        <v>57.41200000000002</v>
      </c>
      <c r="G152" s="33">
        <f t="shared" si="3"/>
        <v>65.26400000000001</v>
      </c>
      <c r="H152" s="33">
        <f t="shared" si="3"/>
        <v>75.352000000000004</v>
      </c>
      <c r="I152" s="33">
        <f t="shared" si="3"/>
        <v>87.104000000000013</v>
      </c>
      <c r="J152" s="33">
        <f t="shared" si="3"/>
        <v>100</v>
      </c>
    </row>
    <row r="153" spans="1:10" ht="20.100000000000001" customHeight="1" x14ac:dyDescent="0.25">
      <c r="A153" s="32">
        <f t="shared" si="1"/>
        <v>0.62000000000000022</v>
      </c>
      <c r="B153" s="33">
        <f t="shared" si="2"/>
        <v>50.22000000000002</v>
      </c>
      <c r="C153" s="33">
        <f t="shared" si="3"/>
        <v>50.379296000000018</v>
      </c>
      <c r="D153" s="33">
        <f t="shared" si="3"/>
        <v>51.474456000000018</v>
      </c>
      <c r="E153" s="33">
        <f t="shared" si="3"/>
        <v>54.247202000000016</v>
      </c>
      <c r="F153" s="33">
        <f t="shared" si="3"/>
        <v>59.230180000000018</v>
      </c>
      <c r="G153" s="33">
        <f t="shared" si="3"/>
        <v>66.746960000000016</v>
      </c>
      <c r="H153" s="33">
        <f t="shared" si="3"/>
        <v>76.404280000000014</v>
      </c>
      <c r="I153" s="33">
        <f t="shared" si="3"/>
        <v>87.654560000000004</v>
      </c>
      <c r="J153" s="33">
        <f t="shared" si="3"/>
        <v>100</v>
      </c>
    </row>
    <row r="154" spans="1:10" ht="20.100000000000001" customHeight="1" x14ac:dyDescent="0.25">
      <c r="A154" s="32">
        <f t="shared" si="1"/>
        <v>0.64000000000000024</v>
      </c>
      <c r="B154" s="33">
        <f t="shared" si="2"/>
        <v>52.480000000000025</v>
      </c>
      <c r="C154" s="33">
        <f t="shared" si="3"/>
        <v>52.632064000000028</v>
      </c>
      <c r="D154" s="33">
        <f t="shared" si="3"/>
        <v>53.677504000000027</v>
      </c>
      <c r="E154" s="33">
        <f t="shared" si="3"/>
        <v>56.324368000000021</v>
      </c>
      <c r="F154" s="33">
        <f t="shared" si="3"/>
        <v>61.08112000000002</v>
      </c>
      <c r="G154" s="33">
        <f t="shared" si="3"/>
        <v>68.256640000000019</v>
      </c>
      <c r="H154" s="33">
        <f t="shared" si="3"/>
        <v>77.475520000000017</v>
      </c>
      <c r="I154" s="33">
        <f t="shared" si="3"/>
        <v>88.215040000000016</v>
      </c>
      <c r="J154" s="33">
        <f t="shared" si="3"/>
        <v>100</v>
      </c>
    </row>
    <row r="155" spans="1:10" ht="20.100000000000001" customHeight="1" x14ac:dyDescent="0.25">
      <c r="A155" s="32">
        <f t="shared" si="1"/>
        <v>0.66000000000000025</v>
      </c>
      <c r="B155" s="33">
        <f t="shared" si="2"/>
        <v>54.78000000000003</v>
      </c>
      <c r="C155" s="33">
        <f t="shared" si="3"/>
        <v>54.924704000000027</v>
      </c>
      <c r="D155" s="33">
        <f t="shared" si="3"/>
        <v>55.91954400000003</v>
      </c>
      <c r="E155" s="33">
        <f t="shared" si="3"/>
        <v>58.438298000000025</v>
      </c>
      <c r="F155" s="33">
        <f t="shared" si="3"/>
        <v>62.964820000000024</v>
      </c>
      <c r="G155" s="33">
        <f t="shared" si="3"/>
        <v>69.793040000000019</v>
      </c>
      <c r="H155" s="33">
        <f t="shared" si="3"/>
        <v>78.565720000000013</v>
      </c>
      <c r="I155" s="33">
        <f t="shared" si="3"/>
        <v>88.785440000000008</v>
      </c>
      <c r="J155" s="33">
        <f t="shared" si="3"/>
        <v>100</v>
      </c>
    </row>
    <row r="156" spans="1:10" ht="20.100000000000001" customHeight="1" x14ac:dyDescent="0.25">
      <c r="A156" s="32">
        <f t="shared" si="1"/>
        <v>0.68000000000000027</v>
      </c>
      <c r="B156" s="33">
        <f t="shared" si="2"/>
        <v>57.12000000000004</v>
      </c>
      <c r="C156" s="33">
        <f t="shared" ref="C156:J172" si="4">$B156+((100-$B156)*C$122/100)</f>
        <v>57.257216000000042</v>
      </c>
      <c r="D156" s="33">
        <f t="shared" si="4"/>
        <v>58.200576000000041</v>
      </c>
      <c r="E156" s="33">
        <f t="shared" si="4"/>
        <v>60.588992000000033</v>
      </c>
      <c r="F156" s="33">
        <f t="shared" si="4"/>
        <v>64.881280000000032</v>
      </c>
      <c r="G156" s="33">
        <f t="shared" si="4"/>
        <v>71.356160000000031</v>
      </c>
      <c r="H156" s="33">
        <f t="shared" si="4"/>
        <v>79.674880000000016</v>
      </c>
      <c r="I156" s="33">
        <f t="shared" si="4"/>
        <v>89.365760000000023</v>
      </c>
      <c r="J156" s="33">
        <f t="shared" si="4"/>
        <v>100</v>
      </c>
    </row>
    <row r="157" spans="1:10" ht="20.100000000000001" customHeight="1" x14ac:dyDescent="0.25">
      <c r="A157" s="32">
        <f t="shared" si="1"/>
        <v>0.70000000000000029</v>
      </c>
      <c r="B157" s="33">
        <f t="shared" si="2"/>
        <v>59.500000000000028</v>
      </c>
      <c r="C157" s="33">
        <f t="shared" si="4"/>
        <v>59.629600000000025</v>
      </c>
      <c r="D157" s="33">
        <f t="shared" si="4"/>
        <v>60.52060000000003</v>
      </c>
      <c r="E157" s="33">
        <f t="shared" si="4"/>
        <v>62.776450000000025</v>
      </c>
      <c r="F157" s="33">
        <f t="shared" si="4"/>
        <v>66.830500000000029</v>
      </c>
      <c r="G157" s="33">
        <f t="shared" si="4"/>
        <v>72.946000000000026</v>
      </c>
      <c r="H157" s="33">
        <f t="shared" si="4"/>
        <v>80.803000000000011</v>
      </c>
      <c r="I157" s="33">
        <f t="shared" si="4"/>
        <v>89.956000000000017</v>
      </c>
      <c r="J157" s="33">
        <f t="shared" si="4"/>
        <v>100</v>
      </c>
    </row>
    <row r="158" spans="1:10" ht="20.100000000000001" customHeight="1" x14ac:dyDescent="0.25">
      <c r="A158" s="32">
        <f t="shared" si="1"/>
        <v>0.72000000000000031</v>
      </c>
      <c r="B158" s="33">
        <f t="shared" si="2"/>
        <v>61.920000000000044</v>
      </c>
      <c r="C158" s="33">
        <f t="shared" si="4"/>
        <v>62.041856000000045</v>
      </c>
      <c r="D158" s="33">
        <f t="shared" si="4"/>
        <v>62.879616000000041</v>
      </c>
      <c r="E158" s="33">
        <f t="shared" si="4"/>
        <v>65.000672000000037</v>
      </c>
      <c r="F158" s="33">
        <f t="shared" si="4"/>
        <v>68.812480000000036</v>
      </c>
      <c r="G158" s="33">
        <f t="shared" si="4"/>
        <v>74.562560000000033</v>
      </c>
      <c r="H158" s="33">
        <f t="shared" si="4"/>
        <v>81.950080000000014</v>
      </c>
      <c r="I158" s="33">
        <f t="shared" si="4"/>
        <v>90.556160000000006</v>
      </c>
      <c r="J158" s="33">
        <f t="shared" si="4"/>
        <v>100</v>
      </c>
    </row>
    <row r="159" spans="1:10" ht="20.100000000000001" customHeight="1" x14ac:dyDescent="0.25">
      <c r="A159" s="32">
        <f t="shared" si="1"/>
        <v>0.74000000000000032</v>
      </c>
      <c r="B159" s="33">
        <f t="shared" si="2"/>
        <v>64.380000000000038</v>
      </c>
      <c r="C159" s="33">
        <f t="shared" si="4"/>
        <v>64.49398400000004</v>
      </c>
      <c r="D159" s="33">
        <f t="shared" si="4"/>
        <v>65.277624000000031</v>
      </c>
      <c r="E159" s="33">
        <f t="shared" si="4"/>
        <v>67.26165800000004</v>
      </c>
      <c r="F159" s="33">
        <f t="shared" si="4"/>
        <v>70.82722000000004</v>
      </c>
      <c r="G159" s="33">
        <f t="shared" si="4"/>
        <v>76.205840000000023</v>
      </c>
      <c r="H159" s="33">
        <f t="shared" si="4"/>
        <v>83.116120000000024</v>
      </c>
      <c r="I159" s="33">
        <f t="shared" si="4"/>
        <v>91.166240000000016</v>
      </c>
      <c r="J159" s="33">
        <f t="shared" si="4"/>
        <v>100</v>
      </c>
    </row>
    <row r="160" spans="1:10" ht="20.100000000000001" customHeight="1" x14ac:dyDescent="0.25">
      <c r="A160" s="32">
        <f t="shared" si="1"/>
        <v>0.76000000000000034</v>
      </c>
      <c r="B160" s="33">
        <f t="shared" si="2"/>
        <v>66.880000000000052</v>
      </c>
      <c r="C160" s="33">
        <f t="shared" si="4"/>
        <v>66.985984000000059</v>
      </c>
      <c r="D160" s="33">
        <f t="shared" si="4"/>
        <v>67.714624000000057</v>
      </c>
      <c r="E160" s="33">
        <f t="shared" si="4"/>
        <v>69.559408000000047</v>
      </c>
      <c r="F160" s="33">
        <f t="shared" si="4"/>
        <v>72.874720000000039</v>
      </c>
      <c r="G160" s="33">
        <f t="shared" si="4"/>
        <v>77.875840000000039</v>
      </c>
      <c r="H160" s="33">
        <f t="shared" si="4"/>
        <v>84.301120000000026</v>
      </c>
      <c r="I160" s="33">
        <f t="shared" si="4"/>
        <v>91.786240000000021</v>
      </c>
      <c r="J160" s="33">
        <f t="shared" si="4"/>
        <v>100</v>
      </c>
    </row>
    <row r="161" spans="1:10" ht="20.100000000000001" customHeight="1" x14ac:dyDescent="0.25">
      <c r="A161" s="32">
        <f t="shared" si="1"/>
        <v>0.78000000000000036</v>
      </c>
      <c r="B161" s="33">
        <f t="shared" si="2"/>
        <v>69.420000000000044</v>
      </c>
      <c r="C161" s="33">
        <f t="shared" si="4"/>
        <v>69.517856000000037</v>
      </c>
      <c r="D161" s="33">
        <f t="shared" si="4"/>
        <v>70.190616000000048</v>
      </c>
      <c r="E161" s="33">
        <f t="shared" si="4"/>
        <v>71.893922000000046</v>
      </c>
      <c r="F161" s="33">
        <f t="shared" si="4"/>
        <v>74.954980000000035</v>
      </c>
      <c r="G161" s="33">
        <f t="shared" si="4"/>
        <v>79.572560000000038</v>
      </c>
      <c r="H161" s="33">
        <f t="shared" si="4"/>
        <v>85.505080000000021</v>
      </c>
      <c r="I161" s="33">
        <f t="shared" si="4"/>
        <v>92.416160000000019</v>
      </c>
      <c r="J161" s="33">
        <f t="shared" si="4"/>
        <v>100</v>
      </c>
    </row>
    <row r="162" spans="1:10" ht="20.100000000000001" customHeight="1" x14ac:dyDescent="0.25">
      <c r="A162" s="32">
        <f t="shared" si="1"/>
        <v>0.80000000000000038</v>
      </c>
      <c r="B162" s="33">
        <f t="shared" si="2"/>
        <v>72.000000000000043</v>
      </c>
      <c r="C162" s="33">
        <f t="shared" si="4"/>
        <v>72.089600000000047</v>
      </c>
      <c r="D162" s="33">
        <f t="shared" si="4"/>
        <v>72.705600000000047</v>
      </c>
      <c r="E162" s="33">
        <f t="shared" si="4"/>
        <v>74.265200000000036</v>
      </c>
      <c r="F162" s="33">
        <f t="shared" si="4"/>
        <v>77.06800000000004</v>
      </c>
      <c r="G162" s="33">
        <f t="shared" si="4"/>
        <v>81.296000000000035</v>
      </c>
      <c r="H162" s="33">
        <f t="shared" si="4"/>
        <v>86.728000000000023</v>
      </c>
      <c r="I162" s="33">
        <f t="shared" si="4"/>
        <v>93.056000000000012</v>
      </c>
      <c r="J162" s="33">
        <f t="shared" si="4"/>
        <v>100</v>
      </c>
    </row>
    <row r="163" spans="1:10" ht="20.100000000000001" customHeight="1" x14ac:dyDescent="0.25">
      <c r="A163" s="32">
        <f t="shared" si="1"/>
        <v>0.8200000000000004</v>
      </c>
      <c r="B163" s="33">
        <f t="shared" si="2"/>
        <v>74.620000000000047</v>
      </c>
      <c r="C163" s="33">
        <f t="shared" si="4"/>
        <v>74.701216000000045</v>
      </c>
      <c r="D163" s="33">
        <f t="shared" si="4"/>
        <v>75.259576000000052</v>
      </c>
      <c r="E163" s="33">
        <f t="shared" si="4"/>
        <v>76.673242000000045</v>
      </c>
      <c r="F163" s="33">
        <f t="shared" si="4"/>
        <v>79.213780000000042</v>
      </c>
      <c r="G163" s="33">
        <f t="shared" si="4"/>
        <v>83.046160000000029</v>
      </c>
      <c r="H163" s="33">
        <f t="shared" si="4"/>
        <v>87.969880000000018</v>
      </c>
      <c r="I163" s="33">
        <f t="shared" si="4"/>
        <v>93.705760000000012</v>
      </c>
      <c r="J163" s="33">
        <f t="shared" si="4"/>
        <v>100</v>
      </c>
    </row>
    <row r="164" spans="1:10" ht="20.100000000000001" customHeight="1" x14ac:dyDescent="0.25">
      <c r="A164" s="32">
        <f t="shared" si="1"/>
        <v>0.84000000000000041</v>
      </c>
      <c r="B164" s="33">
        <f t="shared" si="2"/>
        <v>77.280000000000058</v>
      </c>
      <c r="C164" s="33">
        <f t="shared" si="4"/>
        <v>77.35270400000006</v>
      </c>
      <c r="D164" s="33">
        <f t="shared" si="4"/>
        <v>77.852544000000051</v>
      </c>
      <c r="E164" s="33">
        <f t="shared" si="4"/>
        <v>79.118048000000059</v>
      </c>
      <c r="F164" s="33">
        <f t="shared" si="4"/>
        <v>81.392320000000041</v>
      </c>
      <c r="G164" s="33">
        <f t="shared" si="4"/>
        <v>84.823040000000034</v>
      </c>
      <c r="H164" s="33">
        <f t="shared" si="4"/>
        <v>89.230720000000019</v>
      </c>
      <c r="I164" s="33">
        <f t="shared" si="4"/>
        <v>94.365440000000021</v>
      </c>
      <c r="J164" s="33">
        <f t="shared" si="4"/>
        <v>100</v>
      </c>
    </row>
    <row r="165" spans="1:10" ht="20.100000000000001" customHeight="1" x14ac:dyDescent="0.25">
      <c r="A165" s="32">
        <f t="shared" si="1"/>
        <v>0.86000000000000043</v>
      </c>
      <c r="B165" s="33">
        <f t="shared" si="2"/>
        <v>79.980000000000047</v>
      </c>
      <c r="C165" s="33">
        <f t="shared" si="4"/>
        <v>80.044064000000049</v>
      </c>
      <c r="D165" s="33">
        <f t="shared" si="4"/>
        <v>80.484504000000044</v>
      </c>
      <c r="E165" s="33">
        <f t="shared" si="4"/>
        <v>81.599618000000049</v>
      </c>
      <c r="F165" s="33">
        <f t="shared" si="4"/>
        <v>83.603620000000035</v>
      </c>
      <c r="G165" s="33">
        <f t="shared" si="4"/>
        <v>86.626640000000037</v>
      </c>
      <c r="H165" s="33">
        <f t="shared" si="4"/>
        <v>90.510520000000028</v>
      </c>
      <c r="I165" s="33">
        <f t="shared" si="4"/>
        <v>95.035040000000009</v>
      </c>
      <c r="J165" s="33">
        <f t="shared" si="4"/>
        <v>100</v>
      </c>
    </row>
    <row r="166" spans="1:10" ht="20.100000000000001" customHeight="1" x14ac:dyDescent="0.25">
      <c r="A166" s="32">
        <f t="shared" si="1"/>
        <v>0.88000000000000045</v>
      </c>
      <c r="B166" s="33">
        <f t="shared" si="2"/>
        <v>82.720000000000056</v>
      </c>
      <c r="C166" s="33">
        <f t="shared" si="4"/>
        <v>82.775296000000054</v>
      </c>
      <c r="D166" s="33">
        <f t="shared" si="4"/>
        <v>83.155456000000058</v>
      </c>
      <c r="E166" s="33">
        <f t="shared" si="4"/>
        <v>84.117952000000045</v>
      </c>
      <c r="F166" s="33">
        <f t="shared" si="4"/>
        <v>85.84768000000004</v>
      </c>
      <c r="G166" s="33">
        <f t="shared" si="4"/>
        <v>88.456960000000038</v>
      </c>
      <c r="H166" s="33">
        <f t="shared" si="4"/>
        <v>91.80928000000003</v>
      </c>
      <c r="I166" s="33">
        <f t="shared" si="4"/>
        <v>95.714560000000006</v>
      </c>
      <c r="J166" s="33">
        <f t="shared" si="4"/>
        <v>100</v>
      </c>
    </row>
    <row r="167" spans="1:10" ht="20.100000000000001" customHeight="1" x14ac:dyDescent="0.25">
      <c r="A167" s="32">
        <f t="shared" si="1"/>
        <v>0.90000000000000047</v>
      </c>
      <c r="B167" s="33">
        <f t="shared" si="2"/>
        <v>85.500000000000071</v>
      </c>
      <c r="C167" s="33">
        <f t="shared" si="4"/>
        <v>85.546400000000077</v>
      </c>
      <c r="D167" s="33">
        <f t="shared" si="4"/>
        <v>85.865400000000065</v>
      </c>
      <c r="E167" s="33">
        <f t="shared" si="4"/>
        <v>86.67305000000006</v>
      </c>
      <c r="F167" s="33">
        <f t="shared" si="4"/>
        <v>88.124500000000054</v>
      </c>
      <c r="G167" s="33">
        <f t="shared" si="4"/>
        <v>90.31400000000005</v>
      </c>
      <c r="H167" s="33">
        <f t="shared" si="4"/>
        <v>93.127000000000038</v>
      </c>
      <c r="I167" s="33">
        <f t="shared" si="4"/>
        <v>96.404000000000025</v>
      </c>
      <c r="J167" s="33">
        <f t="shared" si="4"/>
        <v>100</v>
      </c>
    </row>
    <row r="168" spans="1:10" ht="20.100000000000001" customHeight="1" x14ac:dyDescent="0.25">
      <c r="A168" s="32">
        <f t="shared" si="1"/>
        <v>0.92000000000000048</v>
      </c>
      <c r="B168" s="33">
        <f t="shared" si="2"/>
        <v>88.320000000000064</v>
      </c>
      <c r="C168" s="33">
        <f t="shared" si="4"/>
        <v>88.357376000000059</v>
      </c>
      <c r="D168" s="33">
        <f t="shared" si="4"/>
        <v>88.614336000000065</v>
      </c>
      <c r="E168" s="33">
        <f t="shared" si="4"/>
        <v>89.264912000000052</v>
      </c>
      <c r="F168" s="33">
        <f t="shared" si="4"/>
        <v>90.434080000000051</v>
      </c>
      <c r="G168" s="33">
        <f t="shared" si="4"/>
        <v>92.197760000000045</v>
      </c>
      <c r="H168" s="33">
        <f t="shared" si="4"/>
        <v>94.463680000000025</v>
      </c>
      <c r="I168" s="33">
        <f t="shared" si="4"/>
        <v>97.103360000000009</v>
      </c>
      <c r="J168" s="33">
        <f t="shared" si="4"/>
        <v>100</v>
      </c>
    </row>
    <row r="169" spans="1:10" ht="20.100000000000001" customHeight="1" x14ac:dyDescent="0.25">
      <c r="A169" s="32">
        <f t="shared" si="1"/>
        <v>0.9400000000000005</v>
      </c>
      <c r="B169" s="33">
        <f t="shared" si="2"/>
        <v>91.180000000000078</v>
      </c>
      <c r="C169" s="33">
        <f t="shared" si="4"/>
        <v>91.208224000000072</v>
      </c>
      <c r="D169" s="33">
        <f t="shared" si="4"/>
        <v>91.402264000000073</v>
      </c>
      <c r="E169" s="33">
        <f t="shared" si="4"/>
        <v>91.893538000000078</v>
      </c>
      <c r="F169" s="33">
        <f t="shared" si="4"/>
        <v>92.776420000000059</v>
      </c>
      <c r="G169" s="33">
        <f t="shared" si="4"/>
        <v>94.108240000000052</v>
      </c>
      <c r="H169" s="33">
        <f t="shared" si="4"/>
        <v>95.819320000000033</v>
      </c>
      <c r="I169" s="33">
        <f t="shared" si="4"/>
        <v>97.812640000000016</v>
      </c>
      <c r="J169" s="33">
        <f t="shared" si="4"/>
        <v>100</v>
      </c>
    </row>
    <row r="170" spans="1:10" ht="20.100000000000001" customHeight="1" x14ac:dyDescent="0.25">
      <c r="A170" s="32">
        <f t="shared" si="1"/>
        <v>0.96000000000000052</v>
      </c>
      <c r="B170" s="33">
        <f t="shared" si="2"/>
        <v>94.080000000000069</v>
      </c>
      <c r="C170" s="33">
        <f t="shared" si="4"/>
        <v>94.098944000000074</v>
      </c>
      <c r="D170" s="33">
        <f t="shared" si="4"/>
        <v>94.229184000000075</v>
      </c>
      <c r="E170" s="33">
        <f t="shared" si="4"/>
        <v>94.558928000000066</v>
      </c>
      <c r="F170" s="33">
        <f t="shared" si="4"/>
        <v>95.151520000000062</v>
      </c>
      <c r="G170" s="33">
        <f t="shared" si="4"/>
        <v>96.045440000000042</v>
      </c>
      <c r="H170" s="33">
        <f t="shared" si="4"/>
        <v>97.193920000000034</v>
      </c>
      <c r="I170" s="33">
        <f t="shared" si="4"/>
        <v>98.531840000000017</v>
      </c>
      <c r="J170" s="33">
        <f t="shared" si="4"/>
        <v>100</v>
      </c>
    </row>
    <row r="171" spans="1:10" ht="20.100000000000001" customHeight="1" x14ac:dyDescent="0.25">
      <c r="A171" s="32">
        <f t="shared" si="1"/>
        <v>0.98000000000000054</v>
      </c>
      <c r="B171" s="33">
        <f t="shared" si="2"/>
        <v>97.020000000000081</v>
      </c>
      <c r="C171" s="33">
        <f t="shared" si="4"/>
        <v>97.029536000000078</v>
      </c>
      <c r="D171" s="33">
        <f t="shared" si="4"/>
        <v>97.095096000000083</v>
      </c>
      <c r="E171" s="33">
        <f t="shared" si="4"/>
        <v>97.261082000000073</v>
      </c>
      <c r="F171" s="33">
        <f t="shared" si="4"/>
        <v>97.559380000000061</v>
      </c>
      <c r="G171" s="33">
        <f t="shared" si="4"/>
        <v>98.009360000000058</v>
      </c>
      <c r="H171" s="33">
        <f t="shared" si="4"/>
        <v>98.587480000000042</v>
      </c>
      <c r="I171" s="33">
        <f t="shared" si="4"/>
        <v>99.260960000000026</v>
      </c>
      <c r="J171" s="33">
        <f t="shared" si="4"/>
        <v>100</v>
      </c>
    </row>
    <row r="172" spans="1:10" ht="20.100000000000001" customHeight="1" x14ac:dyDescent="0.25">
      <c r="A172" s="32">
        <f t="shared" si="1"/>
        <v>1.0000000000000004</v>
      </c>
      <c r="B172" s="33">
        <f t="shared" si="2"/>
        <v>100.00000000000007</v>
      </c>
      <c r="C172" s="33">
        <f t="shared" si="4"/>
        <v>100.00000000000007</v>
      </c>
      <c r="D172" s="33">
        <f t="shared" si="4"/>
        <v>100.00000000000007</v>
      </c>
      <c r="E172" s="33">
        <f t="shared" si="4"/>
        <v>100.00000000000007</v>
      </c>
      <c r="F172" s="33">
        <f t="shared" si="4"/>
        <v>100.00000000000006</v>
      </c>
      <c r="G172" s="33">
        <f t="shared" si="4"/>
        <v>100.00000000000004</v>
      </c>
      <c r="H172" s="33">
        <f t="shared" si="4"/>
        <v>100.00000000000003</v>
      </c>
      <c r="I172" s="33">
        <f t="shared" si="4"/>
        <v>100.00000000000001</v>
      </c>
      <c r="J172" s="33">
        <f t="shared" si="4"/>
        <v>100</v>
      </c>
    </row>
    <row r="174" spans="1:10" ht="20.100000000000001" customHeight="1" x14ac:dyDescent="0.25">
      <c r="A174" s="217" t="s">
        <v>391</v>
      </c>
      <c r="B174" s="217"/>
      <c r="C174" s="217"/>
      <c r="D174" s="217"/>
      <c r="E174" s="217"/>
      <c r="F174" s="217"/>
      <c r="G174" s="217"/>
      <c r="H174" s="217"/>
      <c r="I174" s="217"/>
      <c r="J174" s="217"/>
    </row>
    <row r="176" spans="1:10" ht="20.100000000000001" customHeight="1" x14ac:dyDescent="0.25">
      <c r="E176" s="34"/>
      <c r="F176" s="34"/>
      <c r="G176" s="34"/>
      <c r="H176" s="34"/>
      <c r="I176" s="34"/>
      <c r="J176" s="34"/>
    </row>
    <row r="177" spans="1:10" ht="20.100000000000001" customHeight="1" x14ac:dyDescent="0.25">
      <c r="A177" s="14"/>
      <c r="B177" s="14"/>
      <c r="C177" s="35"/>
      <c r="D177" s="36"/>
      <c r="E177" s="34"/>
      <c r="F177" s="34"/>
      <c r="G177" s="34"/>
      <c r="H177" s="34"/>
      <c r="I177" s="34"/>
      <c r="J177" s="34"/>
    </row>
    <row r="178" spans="1:10" ht="20.100000000000001" customHeight="1" x14ac:dyDescent="0.25">
      <c r="A178" s="14"/>
      <c r="B178" s="14"/>
      <c r="C178" s="35"/>
      <c r="D178" s="36"/>
      <c r="E178" s="34"/>
      <c r="F178" s="34"/>
      <c r="G178" s="34"/>
      <c r="H178" s="34"/>
      <c r="I178" s="34"/>
      <c r="J178" s="34"/>
    </row>
    <row r="179" spans="1:10" ht="20.100000000000001" customHeight="1" x14ac:dyDescent="0.25">
      <c r="A179" s="14"/>
      <c r="B179" s="14"/>
      <c r="C179" s="35"/>
      <c r="D179" s="36"/>
      <c r="E179" s="34"/>
      <c r="F179" s="34"/>
      <c r="G179" s="34"/>
      <c r="H179" s="34"/>
      <c r="I179" s="34"/>
      <c r="J179" s="34"/>
    </row>
    <row r="180" spans="1:10" ht="20.100000000000001" customHeight="1" x14ac:dyDescent="0.25">
      <c r="C180" s="35"/>
      <c r="D180" s="36"/>
      <c r="E180" s="34"/>
      <c r="F180" s="34"/>
      <c r="G180" s="34"/>
      <c r="H180" s="34"/>
      <c r="I180" s="34"/>
      <c r="J180" s="34"/>
    </row>
    <row r="181" spans="1:10" ht="20.100000000000001" customHeight="1" x14ac:dyDescent="0.25">
      <c r="C181" s="35"/>
      <c r="D181" s="36"/>
      <c r="E181" s="34"/>
      <c r="F181" s="34"/>
      <c r="G181" s="34"/>
      <c r="H181" s="34"/>
      <c r="I181" s="34"/>
      <c r="J181" s="34"/>
    </row>
    <row r="182" spans="1:10" ht="20.100000000000001" customHeight="1" x14ac:dyDescent="0.25">
      <c r="C182" s="35"/>
      <c r="D182" s="36"/>
      <c r="E182" s="34"/>
      <c r="F182" s="34"/>
      <c r="G182" s="34"/>
      <c r="H182" s="34"/>
      <c r="I182" s="34"/>
      <c r="J182" s="34"/>
    </row>
    <row r="183" spans="1:10" ht="20.100000000000001" customHeight="1" x14ac:dyDescent="0.25">
      <c r="C183" s="35"/>
      <c r="D183" s="36"/>
      <c r="E183" s="34"/>
      <c r="F183" s="34"/>
      <c r="G183" s="34"/>
      <c r="H183" s="34"/>
      <c r="I183" s="34"/>
      <c r="J183" s="34"/>
    </row>
    <row r="184" spans="1:10" ht="20.100000000000001" customHeight="1" x14ac:dyDescent="0.25">
      <c r="C184" s="35"/>
      <c r="D184" s="36"/>
      <c r="E184" s="34"/>
      <c r="F184" s="34"/>
      <c r="G184" s="34"/>
      <c r="H184" s="34"/>
      <c r="I184" s="34"/>
      <c r="J184" s="34"/>
    </row>
    <row r="185" spans="1:10" ht="20.100000000000001" customHeight="1" x14ac:dyDescent="0.25">
      <c r="C185" s="35"/>
      <c r="D185" s="36"/>
      <c r="E185" s="34"/>
      <c r="F185" s="34"/>
      <c r="G185" s="34"/>
      <c r="H185" s="34"/>
      <c r="I185" s="34"/>
      <c r="J185" s="34"/>
    </row>
    <row r="186" spans="1:10" ht="20.100000000000001" customHeight="1" x14ac:dyDescent="0.25">
      <c r="C186" s="35"/>
      <c r="D186" s="36"/>
      <c r="E186" s="34"/>
      <c r="F186" s="34"/>
      <c r="G186" s="34"/>
      <c r="H186" s="34"/>
      <c r="I186" s="34"/>
      <c r="J186" s="34"/>
    </row>
    <row r="189" spans="1:10" ht="20.100000000000001" customHeight="1" x14ac:dyDescent="0.25">
      <c r="A189" s="224" t="str">
        <f>A118</f>
        <v>IDADE EM % DA VIDA ÚTIL</v>
      </c>
      <c r="B189" s="225" t="str">
        <f t="shared" ref="B189:J189" si="5">B118</f>
        <v>ESTADO DE CONSERVAÇÃO</v>
      </c>
      <c r="C189" s="226">
        <f t="shared" si="5"/>
        <v>0</v>
      </c>
      <c r="D189" s="226">
        <f t="shared" si="5"/>
        <v>0</v>
      </c>
      <c r="E189" s="226">
        <f t="shared" si="5"/>
        <v>0</v>
      </c>
      <c r="F189" s="226">
        <f t="shared" si="5"/>
        <v>0</v>
      </c>
      <c r="G189" s="226">
        <f t="shared" si="5"/>
        <v>0</v>
      </c>
      <c r="H189" s="226">
        <f t="shared" si="5"/>
        <v>0</v>
      </c>
      <c r="I189" s="226">
        <f t="shared" si="5"/>
        <v>0</v>
      </c>
      <c r="J189" s="227">
        <f t="shared" si="5"/>
        <v>0</v>
      </c>
    </row>
    <row r="190" spans="1:10" ht="20.100000000000001" customHeight="1" x14ac:dyDescent="0.25">
      <c r="A190" s="224">
        <f t="shared" ref="A190:J205" si="6">A119</f>
        <v>0</v>
      </c>
      <c r="B190" s="222" t="s">
        <v>392</v>
      </c>
      <c r="C190" s="222">
        <f t="shared" si="6"/>
        <v>0</v>
      </c>
      <c r="D190" s="222">
        <f t="shared" si="6"/>
        <v>0</v>
      </c>
      <c r="E190" s="222">
        <f t="shared" si="6"/>
        <v>0</v>
      </c>
      <c r="F190" s="222">
        <f t="shared" si="6"/>
        <v>0</v>
      </c>
      <c r="G190" s="222">
        <f t="shared" si="6"/>
        <v>0</v>
      </c>
      <c r="H190" s="222">
        <f t="shared" si="6"/>
        <v>0</v>
      </c>
      <c r="I190" s="222">
        <f t="shared" si="6"/>
        <v>0</v>
      </c>
      <c r="J190" s="222">
        <f t="shared" si="6"/>
        <v>0</v>
      </c>
    </row>
    <row r="191" spans="1:10" ht="20.100000000000001" customHeight="1" x14ac:dyDescent="0.25">
      <c r="A191" s="224">
        <f t="shared" si="6"/>
        <v>0</v>
      </c>
      <c r="B191" s="224" t="str">
        <f t="shared" si="6"/>
        <v>Classificação do estado de conservação de acordo com a tabela de Heidecke</v>
      </c>
      <c r="C191" s="224">
        <f t="shared" si="6"/>
        <v>0</v>
      </c>
      <c r="D191" s="224">
        <f t="shared" si="6"/>
        <v>0</v>
      </c>
      <c r="E191" s="224">
        <f t="shared" si="6"/>
        <v>0</v>
      </c>
      <c r="F191" s="224">
        <f t="shared" si="6"/>
        <v>0</v>
      </c>
      <c r="G191" s="224">
        <f t="shared" si="6"/>
        <v>0</v>
      </c>
      <c r="H191" s="224">
        <f t="shared" si="6"/>
        <v>0</v>
      </c>
      <c r="I191" s="224">
        <f t="shared" si="6"/>
        <v>0</v>
      </c>
      <c r="J191" s="224">
        <f t="shared" si="6"/>
        <v>0</v>
      </c>
    </row>
    <row r="192" spans="1:10" ht="20.100000000000001" customHeight="1" x14ac:dyDescent="0.25">
      <c r="A192" s="224">
        <f t="shared" si="6"/>
        <v>0</v>
      </c>
      <c r="B192" s="31" t="str">
        <f t="shared" si="6"/>
        <v>A</v>
      </c>
      <c r="C192" s="31" t="str">
        <f t="shared" si="6"/>
        <v>B</v>
      </c>
      <c r="D192" s="31" t="str">
        <f t="shared" si="6"/>
        <v>C</v>
      </c>
      <c r="E192" s="31" t="str">
        <f t="shared" si="6"/>
        <v>D</v>
      </c>
      <c r="F192" s="31" t="str">
        <f t="shared" si="6"/>
        <v>E</v>
      </c>
      <c r="G192" s="31" t="str">
        <f t="shared" si="6"/>
        <v>F</v>
      </c>
      <c r="H192" s="31" t="str">
        <f t="shared" si="6"/>
        <v>G</v>
      </c>
      <c r="I192" s="31" t="str">
        <f t="shared" si="6"/>
        <v>H</v>
      </c>
      <c r="J192" s="31" t="str">
        <f t="shared" si="6"/>
        <v>I</v>
      </c>
    </row>
    <row r="193" spans="1:10" ht="20.100000000000001" customHeight="1" x14ac:dyDescent="0.25">
      <c r="A193" s="37">
        <f t="shared" si="6"/>
        <v>0</v>
      </c>
      <c r="B193" s="38">
        <f>-(B122/100)</f>
        <v>0</v>
      </c>
      <c r="C193" s="38">
        <f t="shared" ref="C193:J193" si="7">-(C122/100)</f>
        <v>-3.2000000000000002E-3</v>
      </c>
      <c r="D193" s="38">
        <f t="shared" si="7"/>
        <v>-2.52E-2</v>
      </c>
      <c r="E193" s="38">
        <f t="shared" si="7"/>
        <v>-8.09E-2</v>
      </c>
      <c r="F193" s="38">
        <f t="shared" si="7"/>
        <v>-0.18100000000000002</v>
      </c>
      <c r="G193" s="38">
        <f t="shared" si="7"/>
        <v>-0.33200000000000002</v>
      </c>
      <c r="H193" s="38">
        <f t="shared" si="7"/>
        <v>-0.52600000000000002</v>
      </c>
      <c r="I193" s="38">
        <f t="shared" si="7"/>
        <v>-0.752</v>
      </c>
      <c r="J193" s="38">
        <f t="shared" si="7"/>
        <v>-1</v>
      </c>
    </row>
    <row r="194" spans="1:10" ht="20.100000000000001" customHeight="1" x14ac:dyDescent="0.25">
      <c r="A194" s="37">
        <f t="shared" si="6"/>
        <v>0.02</v>
      </c>
      <c r="B194" s="38">
        <f t="shared" ref="B194:J209" si="8">-(B123/100)</f>
        <v>-1.0200000000000001E-2</v>
      </c>
      <c r="C194" s="38">
        <f t="shared" si="8"/>
        <v>-1.3367360000000002E-2</v>
      </c>
      <c r="D194" s="38">
        <f t="shared" si="8"/>
        <v>-3.5142960000000001E-2</v>
      </c>
      <c r="E194" s="38">
        <f t="shared" si="8"/>
        <v>-9.0274819999999992E-2</v>
      </c>
      <c r="F194" s="38">
        <f t="shared" si="8"/>
        <v>-0.18935380000000002</v>
      </c>
      <c r="G194" s="38">
        <f t="shared" si="8"/>
        <v>-0.3388136000000001</v>
      </c>
      <c r="H194" s="38">
        <f t="shared" si="8"/>
        <v>-0.53083480000000005</v>
      </c>
      <c r="I194" s="38">
        <f t="shared" si="8"/>
        <v>-0.75452960000000002</v>
      </c>
      <c r="J194" s="38">
        <f t="shared" si="8"/>
        <v>-1</v>
      </c>
    </row>
    <row r="195" spans="1:10" ht="20.100000000000001" customHeight="1" x14ac:dyDescent="0.25">
      <c r="A195" s="37">
        <f t="shared" si="6"/>
        <v>0.04</v>
      </c>
      <c r="B195" s="38">
        <f t="shared" si="8"/>
        <v>-2.0799999999999999E-2</v>
      </c>
      <c r="C195" s="38">
        <f t="shared" si="8"/>
        <v>-2.393344E-2</v>
      </c>
      <c r="D195" s="38">
        <f t="shared" si="8"/>
        <v>-4.5475840000000003E-2</v>
      </c>
      <c r="E195" s="38">
        <f t="shared" si="8"/>
        <v>-0.10001728</v>
      </c>
      <c r="F195" s="38">
        <f t="shared" si="8"/>
        <v>-0.19803519999999999</v>
      </c>
      <c r="G195" s="38">
        <f t="shared" si="8"/>
        <v>-0.34589440000000005</v>
      </c>
      <c r="H195" s="38">
        <f t="shared" si="8"/>
        <v>-0.53585919999999998</v>
      </c>
      <c r="I195" s="38">
        <f t="shared" si="8"/>
        <v>-0.75715840000000001</v>
      </c>
      <c r="J195" s="38">
        <f t="shared" si="8"/>
        <v>-1</v>
      </c>
    </row>
    <row r="196" spans="1:10" ht="20.100000000000001" customHeight="1" x14ac:dyDescent="0.25">
      <c r="A196" s="37">
        <f t="shared" si="6"/>
        <v>0.06</v>
      </c>
      <c r="B196" s="38">
        <f t="shared" si="8"/>
        <v>-3.1800000000000002E-2</v>
      </c>
      <c r="C196" s="38">
        <f t="shared" si="8"/>
        <v>-3.4898239999999997E-2</v>
      </c>
      <c r="D196" s="38">
        <f t="shared" si="8"/>
        <v>-5.6198639999999994E-2</v>
      </c>
      <c r="E196" s="38">
        <f t="shared" si="8"/>
        <v>-0.11012737999999998</v>
      </c>
      <c r="F196" s="38">
        <f t="shared" si="8"/>
        <v>-0.20704419999999998</v>
      </c>
      <c r="G196" s="38">
        <f t="shared" si="8"/>
        <v>-0.35324239999999996</v>
      </c>
      <c r="H196" s="38">
        <f t="shared" si="8"/>
        <v>-0.54107320000000003</v>
      </c>
      <c r="I196" s="38">
        <f t="shared" si="8"/>
        <v>-0.75988640000000007</v>
      </c>
      <c r="J196" s="38">
        <f t="shared" si="8"/>
        <v>-1</v>
      </c>
    </row>
    <row r="197" spans="1:10" ht="20.100000000000001" customHeight="1" x14ac:dyDescent="0.25">
      <c r="A197" s="37">
        <f t="shared" si="6"/>
        <v>0.08</v>
      </c>
      <c r="B197" s="38">
        <f t="shared" si="8"/>
        <v>-4.3200000000000002E-2</v>
      </c>
      <c r="C197" s="38">
        <f t="shared" si="8"/>
        <v>-4.6261759999999999E-2</v>
      </c>
      <c r="D197" s="38">
        <f t="shared" si="8"/>
        <v>-6.7311360000000015E-2</v>
      </c>
      <c r="E197" s="38">
        <f t="shared" si="8"/>
        <v>-0.12060512</v>
      </c>
      <c r="F197" s="38">
        <f t="shared" si="8"/>
        <v>-0.21638080000000001</v>
      </c>
      <c r="G197" s="38">
        <f t="shared" si="8"/>
        <v>-0.36085760000000006</v>
      </c>
      <c r="H197" s="38">
        <f t="shared" si="8"/>
        <v>-0.5464768000000001</v>
      </c>
      <c r="I197" s="38">
        <f t="shared" si="8"/>
        <v>-0.7627136000000001</v>
      </c>
      <c r="J197" s="38">
        <f t="shared" si="8"/>
        <v>-1</v>
      </c>
    </row>
    <row r="198" spans="1:10" ht="20.100000000000001" customHeight="1" x14ac:dyDescent="0.25">
      <c r="A198" s="37">
        <f t="shared" si="6"/>
        <v>0.1</v>
      </c>
      <c r="B198" s="38">
        <f t="shared" si="8"/>
        <v>-5.5000000000000007E-2</v>
      </c>
      <c r="C198" s="38">
        <f t="shared" si="8"/>
        <v>-5.8024000000000006E-2</v>
      </c>
      <c r="D198" s="38">
        <f t="shared" si="8"/>
        <v>-7.8814000000000009E-2</v>
      </c>
      <c r="E198" s="38">
        <f t="shared" si="8"/>
        <v>-0.13145050000000003</v>
      </c>
      <c r="F198" s="38">
        <f t="shared" si="8"/>
        <v>-0.22604500000000002</v>
      </c>
      <c r="G198" s="38">
        <f t="shared" si="8"/>
        <v>-0.36874000000000001</v>
      </c>
      <c r="H198" s="38">
        <f t="shared" si="8"/>
        <v>-0.55207000000000006</v>
      </c>
      <c r="I198" s="38">
        <f t="shared" si="8"/>
        <v>-0.7656400000000001</v>
      </c>
      <c r="J198" s="38">
        <f t="shared" si="8"/>
        <v>-1</v>
      </c>
    </row>
    <row r="199" spans="1:10" ht="20.100000000000001" customHeight="1" x14ac:dyDescent="0.25">
      <c r="A199" s="37">
        <f t="shared" si="6"/>
        <v>0.12000000000000001</v>
      </c>
      <c r="B199" s="38">
        <f t="shared" si="8"/>
        <v>-6.720000000000001E-2</v>
      </c>
      <c r="C199" s="38">
        <f t="shared" si="8"/>
        <v>-7.0184960000000005E-2</v>
      </c>
      <c r="D199" s="38">
        <f t="shared" si="8"/>
        <v>-9.0706560000000019E-2</v>
      </c>
      <c r="E199" s="38">
        <f t="shared" si="8"/>
        <v>-0.14266352000000002</v>
      </c>
      <c r="F199" s="38">
        <f t="shared" si="8"/>
        <v>-0.23603680000000005</v>
      </c>
      <c r="G199" s="38">
        <f t="shared" si="8"/>
        <v>-0.37688959999999999</v>
      </c>
      <c r="H199" s="38">
        <f t="shared" si="8"/>
        <v>-0.55785280000000004</v>
      </c>
      <c r="I199" s="38">
        <f t="shared" si="8"/>
        <v>-0.76866559999999995</v>
      </c>
      <c r="J199" s="38">
        <f t="shared" si="8"/>
        <v>-1</v>
      </c>
    </row>
    <row r="200" spans="1:10" ht="20.100000000000001" customHeight="1" x14ac:dyDescent="0.25">
      <c r="A200" s="37">
        <f t="shared" si="6"/>
        <v>0.14000000000000001</v>
      </c>
      <c r="B200" s="38">
        <f t="shared" si="8"/>
        <v>-7.980000000000001E-2</v>
      </c>
      <c r="C200" s="38">
        <f t="shared" si="8"/>
        <v>-8.2744640000000022E-2</v>
      </c>
      <c r="D200" s="38">
        <f t="shared" si="8"/>
        <v>-0.10298904</v>
      </c>
      <c r="E200" s="38">
        <f t="shared" si="8"/>
        <v>-0.15424418000000001</v>
      </c>
      <c r="F200" s="38">
        <f t="shared" si="8"/>
        <v>-0.24635620000000003</v>
      </c>
      <c r="G200" s="38">
        <f t="shared" si="8"/>
        <v>-0.38530640000000005</v>
      </c>
      <c r="H200" s="38">
        <f t="shared" si="8"/>
        <v>-0.56382520000000003</v>
      </c>
      <c r="I200" s="38">
        <f t="shared" si="8"/>
        <v>-0.77179039999999999</v>
      </c>
      <c r="J200" s="38">
        <f t="shared" si="8"/>
        <v>-1</v>
      </c>
    </row>
    <row r="201" spans="1:10" ht="20.100000000000001" customHeight="1" x14ac:dyDescent="0.25">
      <c r="A201" s="37">
        <f t="shared" si="6"/>
        <v>0.16</v>
      </c>
      <c r="B201" s="38">
        <f t="shared" si="8"/>
        <v>-9.2800000000000007E-2</v>
      </c>
      <c r="C201" s="38">
        <f t="shared" si="8"/>
        <v>-9.5703040000000017E-2</v>
      </c>
      <c r="D201" s="38">
        <f t="shared" si="8"/>
        <v>-0.11566144000000002</v>
      </c>
      <c r="E201" s="38">
        <f t="shared" si="8"/>
        <v>-0.16619248000000003</v>
      </c>
      <c r="F201" s="38">
        <f t="shared" si="8"/>
        <v>-0.25700319999999999</v>
      </c>
      <c r="G201" s="38">
        <f t="shared" si="8"/>
        <v>-0.39399040000000002</v>
      </c>
      <c r="H201" s="38">
        <f t="shared" si="8"/>
        <v>-0.56998720000000003</v>
      </c>
      <c r="I201" s="38">
        <f t="shared" si="8"/>
        <v>-0.77501439999999999</v>
      </c>
      <c r="J201" s="38">
        <f t="shared" si="8"/>
        <v>-1</v>
      </c>
    </row>
    <row r="202" spans="1:10" ht="20.100000000000001" customHeight="1" x14ac:dyDescent="0.25">
      <c r="A202" s="37">
        <f t="shared" si="6"/>
        <v>0.18</v>
      </c>
      <c r="B202" s="38">
        <f t="shared" si="8"/>
        <v>-0.10619999999999999</v>
      </c>
      <c r="C202" s="38">
        <f t="shared" si="8"/>
        <v>-0.10906015999999999</v>
      </c>
      <c r="D202" s="38">
        <f t="shared" si="8"/>
        <v>-0.12872375999999999</v>
      </c>
      <c r="E202" s="38">
        <f t="shared" si="8"/>
        <v>-0.17850842</v>
      </c>
      <c r="F202" s="38">
        <f t="shared" si="8"/>
        <v>-0.26797779999999993</v>
      </c>
      <c r="G202" s="38">
        <f t="shared" si="8"/>
        <v>-0.40294159999999996</v>
      </c>
      <c r="H202" s="38">
        <f t="shared" si="8"/>
        <v>-0.57633879999999993</v>
      </c>
      <c r="I202" s="38">
        <f t="shared" si="8"/>
        <v>-0.77833760000000007</v>
      </c>
      <c r="J202" s="38">
        <f t="shared" si="8"/>
        <v>-1</v>
      </c>
    </row>
    <row r="203" spans="1:10" ht="20.100000000000001" customHeight="1" x14ac:dyDescent="0.25">
      <c r="A203" s="37">
        <f t="shared" si="6"/>
        <v>0.19999999999999998</v>
      </c>
      <c r="B203" s="38">
        <f t="shared" si="8"/>
        <v>-0.12</v>
      </c>
      <c r="C203" s="38">
        <f t="shared" si="8"/>
        <v>-0.12281599999999999</v>
      </c>
      <c r="D203" s="38">
        <f t="shared" si="8"/>
        <v>-0.142176</v>
      </c>
      <c r="E203" s="38">
        <f t="shared" si="8"/>
        <v>-0.191192</v>
      </c>
      <c r="F203" s="38">
        <f t="shared" si="8"/>
        <v>-0.27928000000000003</v>
      </c>
      <c r="G203" s="38">
        <f t="shared" si="8"/>
        <v>-0.41216000000000008</v>
      </c>
      <c r="H203" s="38">
        <f t="shared" si="8"/>
        <v>-0.58288000000000006</v>
      </c>
      <c r="I203" s="38">
        <f t="shared" si="8"/>
        <v>-0.78176000000000001</v>
      </c>
      <c r="J203" s="38">
        <f t="shared" si="8"/>
        <v>-1</v>
      </c>
    </row>
    <row r="204" spans="1:10" ht="20.100000000000001" customHeight="1" x14ac:dyDescent="0.25">
      <c r="A204" s="37">
        <f t="shared" si="6"/>
        <v>0.21999999999999997</v>
      </c>
      <c r="B204" s="38">
        <f t="shared" si="8"/>
        <v>-0.13419999999999999</v>
      </c>
      <c r="C204" s="38">
        <f t="shared" si="8"/>
        <v>-0.13697055999999999</v>
      </c>
      <c r="D204" s="38">
        <f t="shared" si="8"/>
        <v>-0.15601815999999999</v>
      </c>
      <c r="E204" s="38">
        <f t="shared" si="8"/>
        <v>-0.20424321999999998</v>
      </c>
      <c r="F204" s="38">
        <f t="shared" si="8"/>
        <v>-0.2909098</v>
      </c>
      <c r="G204" s="38">
        <f t="shared" si="8"/>
        <v>-0.42164559999999995</v>
      </c>
      <c r="H204" s="38">
        <f t="shared" si="8"/>
        <v>-0.58961079999999999</v>
      </c>
      <c r="I204" s="38">
        <f t="shared" si="8"/>
        <v>-0.78528160000000002</v>
      </c>
      <c r="J204" s="38">
        <f t="shared" si="8"/>
        <v>-1</v>
      </c>
    </row>
    <row r="205" spans="1:10" ht="20.100000000000001" customHeight="1" x14ac:dyDescent="0.25">
      <c r="A205" s="37">
        <f t="shared" si="6"/>
        <v>0.23999999999999996</v>
      </c>
      <c r="B205" s="38">
        <f t="shared" si="8"/>
        <v>-0.14879999999999999</v>
      </c>
      <c r="C205" s="38">
        <f t="shared" si="8"/>
        <v>-0.15152383999999999</v>
      </c>
      <c r="D205" s="38">
        <f t="shared" si="8"/>
        <v>-0.17025024</v>
      </c>
      <c r="E205" s="38">
        <f t="shared" si="8"/>
        <v>-0.21766207999999998</v>
      </c>
      <c r="F205" s="38">
        <f t="shared" si="8"/>
        <v>-0.3028672</v>
      </c>
      <c r="G205" s="38">
        <f t="shared" si="8"/>
        <v>-0.43139840000000007</v>
      </c>
      <c r="H205" s="38">
        <f t="shared" si="8"/>
        <v>-0.59653120000000004</v>
      </c>
      <c r="I205" s="38">
        <f t="shared" si="8"/>
        <v>-0.7889024</v>
      </c>
      <c r="J205" s="38">
        <f t="shared" si="8"/>
        <v>-1</v>
      </c>
    </row>
    <row r="206" spans="1:10" ht="20.100000000000001" customHeight="1" x14ac:dyDescent="0.25">
      <c r="A206" s="37">
        <f t="shared" ref="A206:A209" si="9">A135</f>
        <v>0.25999999999999995</v>
      </c>
      <c r="B206" s="38">
        <f t="shared" si="8"/>
        <v>-0.1638</v>
      </c>
      <c r="C206" s="38">
        <f t="shared" si="8"/>
        <v>-0.16647583999999999</v>
      </c>
      <c r="D206" s="38">
        <f t="shared" si="8"/>
        <v>-0.18487223999999997</v>
      </c>
      <c r="E206" s="38">
        <f t="shared" si="8"/>
        <v>-0.23144857999999999</v>
      </c>
      <c r="F206" s="38">
        <f t="shared" si="8"/>
        <v>-0.31515219999999999</v>
      </c>
      <c r="G206" s="38">
        <f t="shared" si="8"/>
        <v>-0.44141840000000004</v>
      </c>
      <c r="H206" s="38">
        <f t="shared" si="8"/>
        <v>-0.60364119999999999</v>
      </c>
      <c r="I206" s="38">
        <f t="shared" si="8"/>
        <v>-0.79262240000000006</v>
      </c>
      <c r="J206" s="38">
        <f t="shared" si="8"/>
        <v>-1</v>
      </c>
    </row>
    <row r="207" spans="1:10" ht="20.100000000000001" customHeight="1" x14ac:dyDescent="0.25">
      <c r="A207" s="37">
        <f t="shared" si="9"/>
        <v>0.27999999999999997</v>
      </c>
      <c r="B207" s="38">
        <f t="shared" si="8"/>
        <v>-0.17919999999999997</v>
      </c>
      <c r="C207" s="38">
        <f t="shared" si="8"/>
        <v>-0.18182655999999997</v>
      </c>
      <c r="D207" s="38">
        <f t="shared" si="8"/>
        <v>-0.19988415999999998</v>
      </c>
      <c r="E207" s="38">
        <f t="shared" si="8"/>
        <v>-0.24560271999999997</v>
      </c>
      <c r="F207" s="38">
        <f t="shared" si="8"/>
        <v>-0.32776479999999997</v>
      </c>
      <c r="G207" s="38">
        <f t="shared" si="8"/>
        <v>-0.45170559999999993</v>
      </c>
      <c r="H207" s="38">
        <f t="shared" si="8"/>
        <v>-0.61094080000000006</v>
      </c>
      <c r="I207" s="38">
        <f t="shared" si="8"/>
        <v>-0.79644159999999997</v>
      </c>
      <c r="J207" s="38">
        <f t="shared" si="8"/>
        <v>-1</v>
      </c>
    </row>
    <row r="208" spans="1:10" ht="20.100000000000001" customHeight="1" x14ac:dyDescent="0.25">
      <c r="A208" s="37">
        <f t="shared" si="9"/>
        <v>0.3</v>
      </c>
      <c r="B208" s="38">
        <f t="shared" si="8"/>
        <v>-0.19500000000000001</v>
      </c>
      <c r="C208" s="38">
        <f t="shared" si="8"/>
        <v>-0.197576</v>
      </c>
      <c r="D208" s="38">
        <f t="shared" si="8"/>
        <v>-0.21528600000000001</v>
      </c>
      <c r="E208" s="38">
        <f t="shared" si="8"/>
        <v>-0.26012450000000004</v>
      </c>
      <c r="F208" s="38">
        <f t="shared" si="8"/>
        <v>-0.34070500000000004</v>
      </c>
      <c r="G208" s="38">
        <f t="shared" si="8"/>
        <v>-0.46226</v>
      </c>
      <c r="H208" s="38">
        <f t="shared" si="8"/>
        <v>-0.61843000000000004</v>
      </c>
      <c r="I208" s="38">
        <f t="shared" si="8"/>
        <v>-0.80035999999999996</v>
      </c>
      <c r="J208" s="38">
        <f t="shared" si="8"/>
        <v>-1</v>
      </c>
    </row>
    <row r="209" spans="1:10" ht="20.100000000000001" customHeight="1" x14ac:dyDescent="0.25">
      <c r="A209" s="37">
        <f t="shared" si="9"/>
        <v>0.32</v>
      </c>
      <c r="B209" s="38">
        <f t="shared" si="8"/>
        <v>-0.2112</v>
      </c>
      <c r="C209" s="38">
        <f t="shared" si="8"/>
        <v>-0.21372416000000002</v>
      </c>
      <c r="D209" s="38">
        <f t="shared" si="8"/>
        <v>-0.23107776000000002</v>
      </c>
      <c r="E209" s="38">
        <f t="shared" si="8"/>
        <v>-0.27501392000000002</v>
      </c>
      <c r="F209" s="38">
        <f t="shared" si="8"/>
        <v>-0.35397280000000003</v>
      </c>
      <c r="G209" s="38">
        <f t="shared" si="8"/>
        <v>-0.47308159999999999</v>
      </c>
      <c r="H209" s="38">
        <f t="shared" si="8"/>
        <v>-0.62610879999999991</v>
      </c>
      <c r="I209" s="38">
        <f t="shared" si="8"/>
        <v>-0.80437760000000003</v>
      </c>
      <c r="J209" s="38">
        <f t="shared" si="8"/>
        <v>-1</v>
      </c>
    </row>
    <row r="210" spans="1:10" ht="20.100000000000001" customHeight="1" x14ac:dyDescent="0.25">
      <c r="A210" s="37">
        <f>A139</f>
        <v>0.34</v>
      </c>
      <c r="B210" s="38">
        <f t="shared" ref="B210:J225" si="10">-(B139/100)</f>
        <v>-0.22780000000000006</v>
      </c>
      <c r="C210" s="38">
        <f t="shared" si="10"/>
        <v>-0.23027104000000004</v>
      </c>
      <c r="D210" s="38">
        <f t="shared" si="10"/>
        <v>-0.24725944000000005</v>
      </c>
      <c r="E210" s="38">
        <f t="shared" si="10"/>
        <v>-0.29027098000000001</v>
      </c>
      <c r="F210" s="38">
        <f t="shared" si="10"/>
        <v>-0.36756820000000007</v>
      </c>
      <c r="G210" s="38">
        <f t="shared" si="10"/>
        <v>-0.48417040000000006</v>
      </c>
      <c r="H210" s="38">
        <f t="shared" si="10"/>
        <v>-0.63397720000000002</v>
      </c>
      <c r="I210" s="38">
        <f t="shared" si="10"/>
        <v>-0.80849440000000017</v>
      </c>
      <c r="J210" s="38">
        <f t="shared" si="10"/>
        <v>-1</v>
      </c>
    </row>
    <row r="211" spans="1:10" ht="20.100000000000001" customHeight="1" x14ac:dyDescent="0.25">
      <c r="A211" s="37">
        <f t="shared" ref="A211:A225" si="11">A140</f>
        <v>0.36000000000000004</v>
      </c>
      <c r="B211" s="38">
        <f t="shared" si="10"/>
        <v>-0.24480000000000002</v>
      </c>
      <c r="C211" s="38">
        <f t="shared" si="10"/>
        <v>-0.24721664000000002</v>
      </c>
      <c r="D211" s="38">
        <f t="shared" si="10"/>
        <v>-0.26383104000000002</v>
      </c>
      <c r="E211" s="38">
        <f t="shared" si="10"/>
        <v>-0.30589568</v>
      </c>
      <c r="F211" s="38">
        <f t="shared" si="10"/>
        <v>-0.38149119999999997</v>
      </c>
      <c r="G211" s="38">
        <f t="shared" si="10"/>
        <v>-0.49552639999999998</v>
      </c>
      <c r="H211" s="38">
        <f t="shared" si="10"/>
        <v>-0.64203520000000003</v>
      </c>
      <c r="I211" s="38">
        <f t="shared" si="10"/>
        <v>-0.81271039999999994</v>
      </c>
      <c r="J211" s="38">
        <f t="shared" si="10"/>
        <v>-1</v>
      </c>
    </row>
    <row r="212" spans="1:10" ht="20.100000000000001" customHeight="1" x14ac:dyDescent="0.25">
      <c r="A212" s="37">
        <f t="shared" si="11"/>
        <v>0.38000000000000006</v>
      </c>
      <c r="B212" s="38">
        <f t="shared" si="10"/>
        <v>-0.26220000000000004</v>
      </c>
      <c r="C212" s="38">
        <f t="shared" si="10"/>
        <v>-0.26456096000000007</v>
      </c>
      <c r="D212" s="38">
        <f t="shared" si="10"/>
        <v>-0.28079256000000002</v>
      </c>
      <c r="E212" s="38">
        <f t="shared" si="10"/>
        <v>-0.32188802000000005</v>
      </c>
      <c r="F212" s="38">
        <f t="shared" si="10"/>
        <v>-0.39574180000000003</v>
      </c>
      <c r="G212" s="38">
        <f t="shared" si="10"/>
        <v>-0.50714960000000009</v>
      </c>
      <c r="H212" s="38">
        <f t="shared" si="10"/>
        <v>-0.65028279999999994</v>
      </c>
      <c r="I212" s="38">
        <f t="shared" si="10"/>
        <v>-0.81702560000000002</v>
      </c>
      <c r="J212" s="38">
        <f t="shared" si="10"/>
        <v>-1</v>
      </c>
    </row>
    <row r="213" spans="1:10" ht="20.100000000000001" customHeight="1" x14ac:dyDescent="0.25">
      <c r="A213" s="37">
        <f t="shared" si="11"/>
        <v>0.40000000000000008</v>
      </c>
      <c r="B213" s="38">
        <f t="shared" si="10"/>
        <v>-0.28000000000000008</v>
      </c>
      <c r="C213" s="38">
        <f t="shared" si="10"/>
        <v>-0.28230400000000005</v>
      </c>
      <c r="D213" s="38">
        <f t="shared" si="10"/>
        <v>-0.29814400000000008</v>
      </c>
      <c r="E213" s="38">
        <f t="shared" si="10"/>
        <v>-0.3382480000000001</v>
      </c>
      <c r="F213" s="38">
        <f t="shared" si="10"/>
        <v>-0.41032000000000013</v>
      </c>
      <c r="G213" s="38">
        <f t="shared" si="10"/>
        <v>-0.51904000000000006</v>
      </c>
      <c r="H213" s="38">
        <f t="shared" si="10"/>
        <v>-0.65872000000000019</v>
      </c>
      <c r="I213" s="38">
        <f t="shared" si="10"/>
        <v>-0.82144000000000006</v>
      </c>
      <c r="J213" s="38">
        <f t="shared" si="10"/>
        <v>-1</v>
      </c>
    </row>
    <row r="214" spans="1:10" ht="20.100000000000001" customHeight="1" x14ac:dyDescent="0.25">
      <c r="A214" s="37">
        <f t="shared" si="11"/>
        <v>0.4200000000000001</v>
      </c>
      <c r="B214" s="38">
        <f t="shared" si="10"/>
        <v>-0.29820000000000008</v>
      </c>
      <c r="C214" s="38">
        <f t="shared" si="10"/>
        <v>-0.30044576000000006</v>
      </c>
      <c r="D214" s="38">
        <f t="shared" si="10"/>
        <v>-0.31588536000000006</v>
      </c>
      <c r="E214" s="38">
        <f t="shared" si="10"/>
        <v>-0.3549756200000001</v>
      </c>
      <c r="F214" s="38">
        <f t="shared" si="10"/>
        <v>-0.42522580000000004</v>
      </c>
      <c r="G214" s="38">
        <f t="shared" si="10"/>
        <v>-0.53119760000000016</v>
      </c>
      <c r="H214" s="38">
        <f t="shared" si="10"/>
        <v>-0.66734680000000002</v>
      </c>
      <c r="I214" s="38">
        <f t="shared" si="10"/>
        <v>-0.82595359999999995</v>
      </c>
      <c r="J214" s="38">
        <f t="shared" si="10"/>
        <v>-1</v>
      </c>
    </row>
    <row r="215" spans="1:10" ht="20.100000000000001" customHeight="1" x14ac:dyDescent="0.25">
      <c r="A215" s="37">
        <f t="shared" si="11"/>
        <v>0.44000000000000011</v>
      </c>
      <c r="B215" s="38">
        <f t="shared" si="10"/>
        <v>-0.31680000000000008</v>
      </c>
      <c r="C215" s="38">
        <f t="shared" si="10"/>
        <v>-0.31898624000000003</v>
      </c>
      <c r="D215" s="38">
        <f t="shared" si="10"/>
        <v>-0.33401664000000003</v>
      </c>
      <c r="E215" s="38">
        <f t="shared" si="10"/>
        <v>-0.37207088000000005</v>
      </c>
      <c r="F215" s="38">
        <f t="shared" si="10"/>
        <v>-0.44045920000000011</v>
      </c>
      <c r="G215" s="38">
        <f t="shared" si="10"/>
        <v>-0.54362240000000006</v>
      </c>
      <c r="H215" s="38">
        <f t="shared" si="10"/>
        <v>-0.67616319999999996</v>
      </c>
      <c r="I215" s="38">
        <f t="shared" si="10"/>
        <v>-0.83056640000000004</v>
      </c>
      <c r="J215" s="38">
        <f t="shared" si="10"/>
        <v>-1</v>
      </c>
    </row>
    <row r="216" spans="1:10" ht="20.100000000000001" customHeight="1" x14ac:dyDescent="0.25">
      <c r="A216" s="37">
        <f t="shared" si="11"/>
        <v>0.46000000000000013</v>
      </c>
      <c r="B216" s="38">
        <f t="shared" si="10"/>
        <v>-0.3358000000000001</v>
      </c>
      <c r="C216" s="38">
        <f t="shared" si="10"/>
        <v>-0.33792544000000013</v>
      </c>
      <c r="D216" s="38">
        <f t="shared" si="10"/>
        <v>-0.3525378400000001</v>
      </c>
      <c r="E216" s="38">
        <f t="shared" si="10"/>
        <v>-0.38953378000000016</v>
      </c>
      <c r="F216" s="38">
        <f t="shared" si="10"/>
        <v>-0.4560202000000001</v>
      </c>
      <c r="G216" s="38">
        <f t="shared" si="10"/>
        <v>-0.5563144000000001</v>
      </c>
      <c r="H216" s="38">
        <f t="shared" si="10"/>
        <v>-0.68516920000000003</v>
      </c>
      <c r="I216" s="38">
        <f t="shared" si="10"/>
        <v>-0.83527840000000009</v>
      </c>
      <c r="J216" s="38">
        <f t="shared" si="10"/>
        <v>-1</v>
      </c>
    </row>
    <row r="217" spans="1:10" ht="20.100000000000001" customHeight="1" x14ac:dyDescent="0.25">
      <c r="A217" s="37">
        <f t="shared" si="11"/>
        <v>0.48000000000000015</v>
      </c>
      <c r="B217" s="38">
        <f t="shared" si="10"/>
        <v>-0.35520000000000013</v>
      </c>
      <c r="C217" s="38">
        <f t="shared" si="10"/>
        <v>-0.35726336000000009</v>
      </c>
      <c r="D217" s="38">
        <f t="shared" si="10"/>
        <v>-0.37144896000000011</v>
      </c>
      <c r="E217" s="38">
        <f t="shared" si="10"/>
        <v>-0.40736432000000006</v>
      </c>
      <c r="F217" s="38">
        <f t="shared" si="10"/>
        <v>-0.47190880000000007</v>
      </c>
      <c r="G217" s="38">
        <f t="shared" si="10"/>
        <v>-0.56927360000000005</v>
      </c>
      <c r="H217" s="38">
        <f t="shared" si="10"/>
        <v>-0.69436480000000023</v>
      </c>
      <c r="I217" s="38">
        <f t="shared" si="10"/>
        <v>-0.84008959999999999</v>
      </c>
      <c r="J217" s="38">
        <f t="shared" si="10"/>
        <v>-1</v>
      </c>
    </row>
    <row r="218" spans="1:10" ht="20.100000000000001" customHeight="1" x14ac:dyDescent="0.25">
      <c r="A218" s="37">
        <f t="shared" si="11"/>
        <v>0.50000000000000011</v>
      </c>
      <c r="B218" s="38">
        <f t="shared" si="10"/>
        <v>-0.37500000000000017</v>
      </c>
      <c r="C218" s="38">
        <f t="shared" si="10"/>
        <v>-0.37700000000000017</v>
      </c>
      <c r="D218" s="38">
        <f t="shared" si="10"/>
        <v>-0.39075000000000015</v>
      </c>
      <c r="E218" s="38">
        <f t="shared" si="10"/>
        <v>-0.42556250000000012</v>
      </c>
      <c r="F218" s="38">
        <f t="shared" si="10"/>
        <v>-0.48812500000000014</v>
      </c>
      <c r="G218" s="38">
        <f t="shared" si="10"/>
        <v>-0.58250000000000013</v>
      </c>
      <c r="H218" s="38">
        <f t="shared" si="10"/>
        <v>-0.70374999999999999</v>
      </c>
      <c r="I218" s="38">
        <f t="shared" si="10"/>
        <v>-0.84499999999999997</v>
      </c>
      <c r="J218" s="38">
        <f t="shared" si="10"/>
        <v>-1</v>
      </c>
    </row>
    <row r="219" spans="1:10" ht="20.100000000000001" customHeight="1" x14ac:dyDescent="0.25">
      <c r="A219" s="37">
        <f t="shared" si="11"/>
        <v>0.52000000000000013</v>
      </c>
      <c r="B219" s="38">
        <f t="shared" si="10"/>
        <v>-0.39520000000000011</v>
      </c>
      <c r="C219" s="38">
        <f t="shared" si="10"/>
        <v>-0.3971353600000001</v>
      </c>
      <c r="D219" s="38">
        <f t="shared" si="10"/>
        <v>-0.41044096000000008</v>
      </c>
      <c r="E219" s="38">
        <f t="shared" si="10"/>
        <v>-0.44412832000000008</v>
      </c>
      <c r="F219" s="38">
        <f t="shared" si="10"/>
        <v>-0.50466880000000014</v>
      </c>
      <c r="G219" s="38">
        <f t="shared" si="10"/>
        <v>-0.59599360000000001</v>
      </c>
      <c r="H219" s="38">
        <f t="shared" si="10"/>
        <v>-0.71332480000000009</v>
      </c>
      <c r="I219" s="38">
        <f t="shared" si="10"/>
        <v>-0.85000960000000003</v>
      </c>
      <c r="J219" s="38">
        <f t="shared" si="10"/>
        <v>-1</v>
      </c>
    </row>
    <row r="220" spans="1:10" ht="20.100000000000001" customHeight="1" x14ac:dyDescent="0.25">
      <c r="A220" s="37">
        <f t="shared" si="11"/>
        <v>0.54000000000000015</v>
      </c>
      <c r="B220" s="38">
        <f t="shared" si="10"/>
        <v>-0.41580000000000017</v>
      </c>
      <c r="C220" s="38">
        <f t="shared" si="10"/>
        <v>-0.41766944000000017</v>
      </c>
      <c r="D220" s="38">
        <f t="shared" si="10"/>
        <v>-0.43052184000000016</v>
      </c>
      <c r="E220" s="38">
        <f t="shared" si="10"/>
        <v>-0.46306178000000014</v>
      </c>
      <c r="F220" s="38">
        <f t="shared" si="10"/>
        <v>-0.52154020000000012</v>
      </c>
      <c r="G220" s="38">
        <f t="shared" si="10"/>
        <v>-0.60975440000000014</v>
      </c>
      <c r="H220" s="38">
        <f t="shared" si="10"/>
        <v>-0.72308919999999999</v>
      </c>
      <c r="I220" s="38">
        <f t="shared" si="10"/>
        <v>-0.85511840000000006</v>
      </c>
      <c r="J220" s="38">
        <f t="shared" si="10"/>
        <v>-1</v>
      </c>
    </row>
    <row r="221" spans="1:10" ht="20.100000000000001" customHeight="1" x14ac:dyDescent="0.25">
      <c r="A221" s="37">
        <f t="shared" si="11"/>
        <v>0.56000000000000016</v>
      </c>
      <c r="B221" s="38">
        <f t="shared" si="10"/>
        <v>-0.43680000000000019</v>
      </c>
      <c r="C221" s="38">
        <f t="shared" si="10"/>
        <v>-0.43860224000000025</v>
      </c>
      <c r="D221" s="38">
        <f t="shared" si="10"/>
        <v>-0.45099264000000017</v>
      </c>
      <c r="E221" s="38">
        <f t="shared" si="10"/>
        <v>-0.48236288000000016</v>
      </c>
      <c r="F221" s="38">
        <f t="shared" si="10"/>
        <v>-0.5387392000000002</v>
      </c>
      <c r="G221" s="38">
        <f t="shared" si="10"/>
        <v>-0.62378240000000018</v>
      </c>
      <c r="H221" s="38">
        <f t="shared" si="10"/>
        <v>-0.73304320000000023</v>
      </c>
      <c r="I221" s="38">
        <f t="shared" si="10"/>
        <v>-0.86032640000000005</v>
      </c>
      <c r="J221" s="38">
        <f t="shared" si="10"/>
        <v>-1</v>
      </c>
    </row>
    <row r="222" spans="1:10" ht="20.100000000000001" customHeight="1" x14ac:dyDescent="0.25">
      <c r="A222" s="37">
        <f t="shared" si="11"/>
        <v>0.58000000000000018</v>
      </c>
      <c r="B222" s="38">
        <f t="shared" si="10"/>
        <v>-0.45820000000000016</v>
      </c>
      <c r="C222" s="38">
        <f t="shared" si="10"/>
        <v>-0.45993376000000014</v>
      </c>
      <c r="D222" s="38">
        <f t="shared" si="10"/>
        <v>-0.47185336000000011</v>
      </c>
      <c r="E222" s="38">
        <f t="shared" si="10"/>
        <v>-0.50203162000000012</v>
      </c>
      <c r="F222" s="38">
        <f t="shared" si="10"/>
        <v>-0.55626580000000014</v>
      </c>
      <c r="G222" s="38">
        <f t="shared" si="10"/>
        <v>-0.63807760000000013</v>
      </c>
      <c r="H222" s="38">
        <f t="shared" si="10"/>
        <v>-0.74318680000000004</v>
      </c>
      <c r="I222" s="38">
        <f t="shared" si="10"/>
        <v>-0.8656336</v>
      </c>
      <c r="J222" s="38">
        <f t="shared" si="10"/>
        <v>-1</v>
      </c>
    </row>
    <row r="223" spans="1:10" ht="20.100000000000001" customHeight="1" x14ac:dyDescent="0.25">
      <c r="A223" s="37">
        <f t="shared" si="11"/>
        <v>0.6000000000000002</v>
      </c>
      <c r="B223" s="38">
        <f t="shared" si="10"/>
        <v>-0.4800000000000002</v>
      </c>
      <c r="C223" s="38">
        <f t="shared" si="10"/>
        <v>-0.48166400000000026</v>
      </c>
      <c r="D223" s="38">
        <f t="shared" si="10"/>
        <v>-0.49310400000000021</v>
      </c>
      <c r="E223" s="38">
        <f t="shared" si="10"/>
        <v>-0.5220680000000002</v>
      </c>
      <c r="F223" s="38">
        <f t="shared" si="10"/>
        <v>-0.57412000000000019</v>
      </c>
      <c r="G223" s="38">
        <f t="shared" si="10"/>
        <v>-0.65264000000000011</v>
      </c>
      <c r="H223" s="38">
        <f t="shared" si="10"/>
        <v>-0.75352000000000008</v>
      </c>
      <c r="I223" s="38">
        <f t="shared" si="10"/>
        <v>-0.87104000000000015</v>
      </c>
      <c r="J223" s="38">
        <f t="shared" si="10"/>
        <v>-1</v>
      </c>
    </row>
    <row r="224" spans="1:10" ht="20.100000000000001" customHeight="1" x14ac:dyDescent="0.25">
      <c r="A224" s="37">
        <f t="shared" si="11"/>
        <v>0.62000000000000022</v>
      </c>
      <c r="B224" s="38">
        <f t="shared" si="10"/>
        <v>-0.5022000000000002</v>
      </c>
      <c r="C224" s="38">
        <f t="shared" si="10"/>
        <v>-0.50379296000000018</v>
      </c>
      <c r="D224" s="38">
        <f t="shared" si="10"/>
        <v>-0.51474456000000013</v>
      </c>
      <c r="E224" s="38">
        <f t="shared" si="10"/>
        <v>-0.54247202000000017</v>
      </c>
      <c r="F224" s="38">
        <f t="shared" si="10"/>
        <v>-0.59230180000000021</v>
      </c>
      <c r="G224" s="38">
        <f t="shared" si="10"/>
        <v>-0.66746960000000011</v>
      </c>
      <c r="H224" s="38">
        <f t="shared" si="10"/>
        <v>-0.76404280000000013</v>
      </c>
      <c r="I224" s="38">
        <f t="shared" si="10"/>
        <v>-0.87654560000000004</v>
      </c>
      <c r="J224" s="38">
        <f t="shared" si="10"/>
        <v>-1</v>
      </c>
    </row>
    <row r="225" spans="1:10" ht="20.100000000000001" customHeight="1" x14ac:dyDescent="0.25">
      <c r="A225" s="37">
        <f t="shared" si="11"/>
        <v>0.64000000000000024</v>
      </c>
      <c r="B225" s="38">
        <f t="shared" si="10"/>
        <v>-0.52480000000000027</v>
      </c>
      <c r="C225" s="38">
        <f t="shared" si="10"/>
        <v>-0.52632064000000023</v>
      </c>
      <c r="D225" s="38">
        <f t="shared" si="10"/>
        <v>-0.53677504000000031</v>
      </c>
      <c r="E225" s="38">
        <f t="shared" si="10"/>
        <v>-0.56324368000000025</v>
      </c>
      <c r="F225" s="38">
        <f t="shared" si="10"/>
        <v>-0.61081120000000022</v>
      </c>
      <c r="G225" s="38">
        <f t="shared" si="10"/>
        <v>-0.68256640000000024</v>
      </c>
      <c r="H225" s="38">
        <f t="shared" si="10"/>
        <v>-0.7747552000000002</v>
      </c>
      <c r="I225" s="38">
        <f t="shared" si="10"/>
        <v>-0.88215040000000011</v>
      </c>
      <c r="J225" s="38">
        <f t="shared" si="10"/>
        <v>-1</v>
      </c>
    </row>
    <row r="226" spans="1:10" ht="20.100000000000001" customHeight="1" x14ac:dyDescent="0.25">
      <c r="A226" s="37">
        <f>A155</f>
        <v>0.66000000000000025</v>
      </c>
      <c r="B226" s="38">
        <f t="shared" ref="B226:J241" si="12">-(B155/100)</f>
        <v>-0.54780000000000029</v>
      </c>
      <c r="C226" s="38">
        <f t="shared" si="12"/>
        <v>-0.54924704000000024</v>
      </c>
      <c r="D226" s="38">
        <f t="shared" si="12"/>
        <v>-0.55919544000000032</v>
      </c>
      <c r="E226" s="38">
        <f t="shared" si="12"/>
        <v>-0.58438298000000022</v>
      </c>
      <c r="F226" s="38">
        <f t="shared" si="12"/>
        <v>-0.62964820000000021</v>
      </c>
      <c r="G226" s="38">
        <f t="shared" si="12"/>
        <v>-0.69793040000000017</v>
      </c>
      <c r="H226" s="38">
        <f t="shared" si="12"/>
        <v>-0.78565720000000017</v>
      </c>
      <c r="I226" s="38">
        <f t="shared" si="12"/>
        <v>-0.88785440000000004</v>
      </c>
      <c r="J226" s="38">
        <f t="shared" si="12"/>
        <v>-1</v>
      </c>
    </row>
    <row r="227" spans="1:10" ht="20.100000000000001" customHeight="1" x14ac:dyDescent="0.25">
      <c r="A227" s="37">
        <f t="shared" ref="A227:A243" si="13">A156</f>
        <v>0.68000000000000027</v>
      </c>
      <c r="B227" s="38">
        <f t="shared" si="12"/>
        <v>-0.57120000000000037</v>
      </c>
      <c r="C227" s="38">
        <f t="shared" si="12"/>
        <v>-0.57257216000000044</v>
      </c>
      <c r="D227" s="38">
        <f t="shared" si="12"/>
        <v>-0.58200576000000037</v>
      </c>
      <c r="E227" s="38">
        <f t="shared" si="12"/>
        <v>-0.6058899200000003</v>
      </c>
      <c r="F227" s="38">
        <f t="shared" si="12"/>
        <v>-0.6488128000000003</v>
      </c>
      <c r="G227" s="38">
        <f t="shared" si="12"/>
        <v>-0.71356160000000035</v>
      </c>
      <c r="H227" s="38">
        <f t="shared" si="12"/>
        <v>-0.79674880000000015</v>
      </c>
      <c r="I227" s="38">
        <f t="shared" si="12"/>
        <v>-0.89365760000000027</v>
      </c>
      <c r="J227" s="38">
        <f t="shared" si="12"/>
        <v>-1</v>
      </c>
    </row>
    <row r="228" spans="1:10" ht="20.100000000000001" customHeight="1" x14ac:dyDescent="0.25">
      <c r="A228" s="37">
        <f t="shared" si="13"/>
        <v>0.70000000000000029</v>
      </c>
      <c r="B228" s="38">
        <f t="shared" si="12"/>
        <v>-0.59500000000000031</v>
      </c>
      <c r="C228" s="38">
        <f t="shared" si="12"/>
        <v>-0.59629600000000027</v>
      </c>
      <c r="D228" s="38">
        <f t="shared" si="12"/>
        <v>-0.60520600000000035</v>
      </c>
      <c r="E228" s="38">
        <f t="shared" si="12"/>
        <v>-0.62776450000000028</v>
      </c>
      <c r="F228" s="38">
        <f t="shared" si="12"/>
        <v>-0.66830500000000026</v>
      </c>
      <c r="G228" s="38">
        <f t="shared" si="12"/>
        <v>-0.72946000000000022</v>
      </c>
      <c r="H228" s="38">
        <f t="shared" si="12"/>
        <v>-0.80803000000000014</v>
      </c>
      <c r="I228" s="38">
        <f t="shared" si="12"/>
        <v>-0.89956000000000014</v>
      </c>
      <c r="J228" s="38">
        <f t="shared" si="12"/>
        <v>-1</v>
      </c>
    </row>
    <row r="229" spans="1:10" ht="20.100000000000001" customHeight="1" x14ac:dyDescent="0.25">
      <c r="A229" s="37">
        <f t="shared" si="13"/>
        <v>0.72000000000000031</v>
      </c>
      <c r="B229" s="38">
        <f t="shared" si="12"/>
        <v>-0.61920000000000042</v>
      </c>
      <c r="C229" s="38">
        <f t="shared" si="12"/>
        <v>-0.62041856000000051</v>
      </c>
      <c r="D229" s="38">
        <f t="shared" si="12"/>
        <v>-0.62879616000000038</v>
      </c>
      <c r="E229" s="38">
        <f t="shared" si="12"/>
        <v>-0.65000672000000037</v>
      </c>
      <c r="F229" s="38">
        <f t="shared" si="12"/>
        <v>-0.68812480000000031</v>
      </c>
      <c r="G229" s="38">
        <f t="shared" si="12"/>
        <v>-0.74562560000000033</v>
      </c>
      <c r="H229" s="38">
        <f t="shared" si="12"/>
        <v>-0.81950080000000014</v>
      </c>
      <c r="I229" s="38">
        <f t="shared" si="12"/>
        <v>-0.90556160000000008</v>
      </c>
      <c r="J229" s="38">
        <f t="shared" si="12"/>
        <v>-1</v>
      </c>
    </row>
    <row r="230" spans="1:10" ht="20.100000000000001" customHeight="1" x14ac:dyDescent="0.25">
      <c r="A230" s="37">
        <f t="shared" si="13"/>
        <v>0.74000000000000032</v>
      </c>
      <c r="B230" s="38">
        <f t="shared" si="12"/>
        <v>-0.64380000000000037</v>
      </c>
      <c r="C230" s="38">
        <f t="shared" si="12"/>
        <v>-0.64493984000000038</v>
      </c>
      <c r="D230" s="38">
        <f t="shared" si="12"/>
        <v>-0.65277624000000034</v>
      </c>
      <c r="E230" s="38">
        <f t="shared" si="12"/>
        <v>-0.67261658000000035</v>
      </c>
      <c r="F230" s="38">
        <f t="shared" si="12"/>
        <v>-0.70827220000000035</v>
      </c>
      <c r="G230" s="38">
        <f t="shared" si="12"/>
        <v>-0.76205840000000025</v>
      </c>
      <c r="H230" s="38">
        <f t="shared" si="12"/>
        <v>-0.83116120000000027</v>
      </c>
      <c r="I230" s="38">
        <f t="shared" si="12"/>
        <v>-0.91166240000000021</v>
      </c>
      <c r="J230" s="38">
        <f t="shared" si="12"/>
        <v>-1</v>
      </c>
    </row>
    <row r="231" spans="1:10" ht="20.100000000000001" customHeight="1" x14ac:dyDescent="0.25">
      <c r="A231" s="37">
        <f t="shared" si="13"/>
        <v>0.76000000000000034</v>
      </c>
      <c r="B231" s="38">
        <f t="shared" si="12"/>
        <v>-0.66880000000000051</v>
      </c>
      <c r="C231" s="38">
        <f t="shared" si="12"/>
        <v>-0.66985984000000054</v>
      </c>
      <c r="D231" s="38">
        <f t="shared" si="12"/>
        <v>-0.67714624000000057</v>
      </c>
      <c r="E231" s="38">
        <f t="shared" si="12"/>
        <v>-0.69559408000000045</v>
      </c>
      <c r="F231" s="38">
        <f t="shared" si="12"/>
        <v>-0.72874720000000037</v>
      </c>
      <c r="G231" s="38">
        <f t="shared" si="12"/>
        <v>-0.77875840000000041</v>
      </c>
      <c r="H231" s="38">
        <f t="shared" si="12"/>
        <v>-0.84301120000000029</v>
      </c>
      <c r="I231" s="38">
        <f t="shared" si="12"/>
        <v>-0.91786240000000019</v>
      </c>
      <c r="J231" s="38">
        <f t="shared" si="12"/>
        <v>-1</v>
      </c>
    </row>
    <row r="232" spans="1:10" ht="20.100000000000001" customHeight="1" x14ac:dyDescent="0.25">
      <c r="A232" s="37">
        <f t="shared" si="13"/>
        <v>0.78000000000000036</v>
      </c>
      <c r="B232" s="38">
        <f t="shared" si="12"/>
        <v>-0.69420000000000048</v>
      </c>
      <c r="C232" s="38">
        <f t="shared" si="12"/>
        <v>-0.69517856000000033</v>
      </c>
      <c r="D232" s="38">
        <f t="shared" si="12"/>
        <v>-0.7019061600000005</v>
      </c>
      <c r="E232" s="38">
        <f t="shared" si="12"/>
        <v>-0.71893922000000043</v>
      </c>
      <c r="F232" s="38">
        <f t="shared" si="12"/>
        <v>-0.74954980000000038</v>
      </c>
      <c r="G232" s="38">
        <f t="shared" si="12"/>
        <v>-0.79572560000000037</v>
      </c>
      <c r="H232" s="38">
        <f t="shared" si="12"/>
        <v>-0.85505080000000022</v>
      </c>
      <c r="I232" s="38">
        <f t="shared" si="12"/>
        <v>-0.92416160000000014</v>
      </c>
      <c r="J232" s="38">
        <f t="shared" si="12"/>
        <v>-1</v>
      </c>
    </row>
    <row r="233" spans="1:10" ht="20.100000000000001" customHeight="1" x14ac:dyDescent="0.25">
      <c r="A233" s="37">
        <f t="shared" si="13"/>
        <v>0.80000000000000038</v>
      </c>
      <c r="B233" s="38">
        <f t="shared" si="12"/>
        <v>-0.72000000000000042</v>
      </c>
      <c r="C233" s="38">
        <f t="shared" si="12"/>
        <v>-0.72089600000000043</v>
      </c>
      <c r="D233" s="38">
        <f t="shared" si="12"/>
        <v>-0.72705600000000048</v>
      </c>
      <c r="E233" s="38">
        <f t="shared" si="12"/>
        <v>-0.74265200000000031</v>
      </c>
      <c r="F233" s="38">
        <f t="shared" si="12"/>
        <v>-0.77068000000000036</v>
      </c>
      <c r="G233" s="38">
        <f t="shared" si="12"/>
        <v>-0.81296000000000035</v>
      </c>
      <c r="H233" s="38">
        <f t="shared" si="12"/>
        <v>-0.86728000000000027</v>
      </c>
      <c r="I233" s="38">
        <f t="shared" si="12"/>
        <v>-0.93056000000000016</v>
      </c>
      <c r="J233" s="38">
        <f t="shared" si="12"/>
        <v>-1</v>
      </c>
    </row>
    <row r="234" spans="1:10" ht="20.100000000000001" customHeight="1" x14ac:dyDescent="0.25">
      <c r="A234" s="37">
        <f t="shared" si="13"/>
        <v>0.8200000000000004</v>
      </c>
      <c r="B234" s="38">
        <f t="shared" si="12"/>
        <v>-0.74620000000000042</v>
      </c>
      <c r="C234" s="38">
        <f t="shared" si="12"/>
        <v>-0.74701216000000048</v>
      </c>
      <c r="D234" s="38">
        <f t="shared" si="12"/>
        <v>-0.7525957600000005</v>
      </c>
      <c r="E234" s="38">
        <f t="shared" si="12"/>
        <v>-0.76673242000000041</v>
      </c>
      <c r="F234" s="38">
        <f t="shared" si="12"/>
        <v>-0.79213780000000045</v>
      </c>
      <c r="G234" s="38">
        <f t="shared" si="12"/>
        <v>-0.83046160000000024</v>
      </c>
      <c r="H234" s="38">
        <f t="shared" si="12"/>
        <v>-0.87969880000000023</v>
      </c>
      <c r="I234" s="38">
        <f t="shared" si="12"/>
        <v>-0.93705760000000016</v>
      </c>
      <c r="J234" s="38">
        <f t="shared" si="12"/>
        <v>-1</v>
      </c>
    </row>
    <row r="235" spans="1:10" ht="20.100000000000001" customHeight="1" x14ac:dyDescent="0.25">
      <c r="A235" s="37">
        <f t="shared" si="13"/>
        <v>0.84000000000000041</v>
      </c>
      <c r="B235" s="38">
        <f t="shared" si="12"/>
        <v>-0.7728000000000006</v>
      </c>
      <c r="C235" s="38">
        <f t="shared" si="12"/>
        <v>-0.77352704000000061</v>
      </c>
      <c r="D235" s="38">
        <f t="shared" si="12"/>
        <v>-0.77852544000000057</v>
      </c>
      <c r="E235" s="38">
        <f t="shared" si="12"/>
        <v>-0.79118048000000063</v>
      </c>
      <c r="F235" s="38">
        <f t="shared" si="12"/>
        <v>-0.8139232000000004</v>
      </c>
      <c r="G235" s="38">
        <f t="shared" si="12"/>
        <v>-0.84823040000000038</v>
      </c>
      <c r="H235" s="38">
        <f t="shared" si="12"/>
        <v>-0.89230720000000019</v>
      </c>
      <c r="I235" s="38">
        <f t="shared" si="12"/>
        <v>-0.94365440000000023</v>
      </c>
      <c r="J235" s="38">
        <f t="shared" si="12"/>
        <v>-1</v>
      </c>
    </row>
    <row r="236" spans="1:10" ht="20.100000000000001" customHeight="1" x14ac:dyDescent="0.25">
      <c r="A236" s="37">
        <f t="shared" si="13"/>
        <v>0.86000000000000043</v>
      </c>
      <c r="B236" s="38">
        <f t="shared" si="12"/>
        <v>-0.79980000000000051</v>
      </c>
      <c r="C236" s="38">
        <f t="shared" si="12"/>
        <v>-0.80044064000000048</v>
      </c>
      <c r="D236" s="38">
        <f t="shared" si="12"/>
        <v>-0.80484504000000046</v>
      </c>
      <c r="E236" s="38">
        <f t="shared" si="12"/>
        <v>-0.81599618000000051</v>
      </c>
      <c r="F236" s="38">
        <f t="shared" si="12"/>
        <v>-0.83603620000000034</v>
      </c>
      <c r="G236" s="38">
        <f t="shared" si="12"/>
        <v>-0.86626640000000033</v>
      </c>
      <c r="H236" s="38">
        <f t="shared" si="12"/>
        <v>-0.90510520000000028</v>
      </c>
      <c r="I236" s="38">
        <f t="shared" si="12"/>
        <v>-0.95035040000000004</v>
      </c>
      <c r="J236" s="38">
        <f t="shared" si="12"/>
        <v>-1</v>
      </c>
    </row>
    <row r="237" spans="1:10" ht="20.100000000000001" customHeight="1" x14ac:dyDescent="0.25">
      <c r="A237" s="37">
        <f t="shared" si="13"/>
        <v>0.88000000000000045</v>
      </c>
      <c r="B237" s="38">
        <f t="shared" si="12"/>
        <v>-0.8272000000000006</v>
      </c>
      <c r="C237" s="38">
        <f t="shared" si="12"/>
        <v>-0.82775296000000054</v>
      </c>
      <c r="D237" s="38">
        <f t="shared" si="12"/>
        <v>-0.83155456000000061</v>
      </c>
      <c r="E237" s="38">
        <f t="shared" si="12"/>
        <v>-0.8411795200000004</v>
      </c>
      <c r="F237" s="38">
        <f t="shared" si="12"/>
        <v>-0.85847680000000037</v>
      </c>
      <c r="G237" s="38">
        <f t="shared" si="12"/>
        <v>-0.8845696000000004</v>
      </c>
      <c r="H237" s="38">
        <f t="shared" si="12"/>
        <v>-0.91809280000000026</v>
      </c>
      <c r="I237" s="38">
        <f t="shared" si="12"/>
        <v>-0.95714560000000004</v>
      </c>
      <c r="J237" s="38">
        <f t="shared" si="12"/>
        <v>-1</v>
      </c>
    </row>
    <row r="238" spans="1:10" ht="20.100000000000001" customHeight="1" x14ac:dyDescent="0.25">
      <c r="A238" s="37">
        <f t="shared" si="13"/>
        <v>0.90000000000000047</v>
      </c>
      <c r="B238" s="38">
        <f t="shared" si="12"/>
        <v>-0.85500000000000076</v>
      </c>
      <c r="C238" s="38">
        <f t="shared" si="12"/>
        <v>-0.85546400000000078</v>
      </c>
      <c r="D238" s="38">
        <f t="shared" si="12"/>
        <v>-0.85865400000000069</v>
      </c>
      <c r="E238" s="38">
        <f t="shared" si="12"/>
        <v>-0.86673050000000063</v>
      </c>
      <c r="F238" s="38">
        <f t="shared" si="12"/>
        <v>-0.8812450000000005</v>
      </c>
      <c r="G238" s="38">
        <f t="shared" si="12"/>
        <v>-0.9031400000000005</v>
      </c>
      <c r="H238" s="38">
        <f t="shared" si="12"/>
        <v>-0.93127000000000038</v>
      </c>
      <c r="I238" s="38">
        <f t="shared" si="12"/>
        <v>-0.96404000000000023</v>
      </c>
      <c r="J238" s="38">
        <f t="shared" si="12"/>
        <v>-1</v>
      </c>
    </row>
    <row r="239" spans="1:10" ht="20.100000000000001" customHeight="1" x14ac:dyDescent="0.25">
      <c r="A239" s="37">
        <f t="shared" si="13"/>
        <v>0.92000000000000048</v>
      </c>
      <c r="B239" s="38">
        <f t="shared" si="12"/>
        <v>-0.88320000000000065</v>
      </c>
      <c r="C239" s="38">
        <f t="shared" si="12"/>
        <v>-0.88357376000000054</v>
      </c>
      <c r="D239" s="38">
        <f t="shared" si="12"/>
        <v>-0.8861433600000006</v>
      </c>
      <c r="E239" s="38">
        <f t="shared" si="12"/>
        <v>-0.89264912000000052</v>
      </c>
      <c r="F239" s="38">
        <f t="shared" si="12"/>
        <v>-0.9043408000000005</v>
      </c>
      <c r="G239" s="38">
        <f t="shared" si="12"/>
        <v>-0.9219776000000004</v>
      </c>
      <c r="H239" s="38">
        <f t="shared" si="12"/>
        <v>-0.94463680000000028</v>
      </c>
      <c r="I239" s="38">
        <f t="shared" si="12"/>
        <v>-0.97103360000000005</v>
      </c>
      <c r="J239" s="38">
        <f t="shared" si="12"/>
        <v>-1</v>
      </c>
    </row>
    <row r="240" spans="1:10" ht="20.100000000000001" customHeight="1" x14ac:dyDescent="0.25">
      <c r="A240" s="37">
        <f t="shared" si="13"/>
        <v>0.9400000000000005</v>
      </c>
      <c r="B240" s="38">
        <f t="shared" si="12"/>
        <v>-0.91180000000000083</v>
      </c>
      <c r="C240" s="38">
        <f t="shared" si="12"/>
        <v>-0.91208224000000071</v>
      </c>
      <c r="D240" s="38">
        <f t="shared" si="12"/>
        <v>-0.91402264000000077</v>
      </c>
      <c r="E240" s="38">
        <f t="shared" si="12"/>
        <v>-0.91893538000000075</v>
      </c>
      <c r="F240" s="38">
        <f t="shared" si="12"/>
        <v>-0.92776420000000059</v>
      </c>
      <c r="G240" s="38">
        <f t="shared" si="12"/>
        <v>-0.94108240000000054</v>
      </c>
      <c r="H240" s="38">
        <f t="shared" si="12"/>
        <v>-0.9581932000000003</v>
      </c>
      <c r="I240" s="38">
        <f t="shared" si="12"/>
        <v>-0.97812640000000017</v>
      </c>
      <c r="J240" s="38">
        <f t="shared" si="12"/>
        <v>-1</v>
      </c>
    </row>
    <row r="241" spans="1:10" ht="20.100000000000001" customHeight="1" x14ac:dyDescent="0.25">
      <c r="A241" s="37">
        <f t="shared" si="13"/>
        <v>0.96000000000000052</v>
      </c>
      <c r="B241" s="38">
        <f t="shared" si="12"/>
        <v>-0.94080000000000075</v>
      </c>
      <c r="C241" s="38">
        <f t="shared" si="12"/>
        <v>-0.94098944000000073</v>
      </c>
      <c r="D241" s="38">
        <f t="shared" si="12"/>
        <v>-0.94229184000000077</v>
      </c>
      <c r="E241" s="38">
        <f t="shared" si="12"/>
        <v>-0.94558928000000064</v>
      </c>
      <c r="F241" s="38">
        <f t="shared" si="12"/>
        <v>-0.95151520000000067</v>
      </c>
      <c r="G241" s="38">
        <f t="shared" si="12"/>
        <v>-0.96045440000000037</v>
      </c>
      <c r="H241" s="38">
        <f t="shared" si="12"/>
        <v>-0.97193920000000034</v>
      </c>
      <c r="I241" s="38">
        <f t="shared" si="12"/>
        <v>-0.98531840000000015</v>
      </c>
      <c r="J241" s="38">
        <f t="shared" si="12"/>
        <v>-1</v>
      </c>
    </row>
    <row r="242" spans="1:10" ht="20.100000000000001" customHeight="1" x14ac:dyDescent="0.25">
      <c r="A242" s="37">
        <f t="shared" si="13"/>
        <v>0.98000000000000054</v>
      </c>
      <c r="B242" s="38">
        <f t="shared" ref="B242:J243" si="14">-(B171/100)</f>
        <v>-0.97020000000000084</v>
      </c>
      <c r="C242" s="38">
        <f t="shared" si="14"/>
        <v>-0.97029536000000083</v>
      </c>
      <c r="D242" s="38">
        <f t="shared" si="14"/>
        <v>-0.97095096000000081</v>
      </c>
      <c r="E242" s="38">
        <f t="shared" si="14"/>
        <v>-0.97261082000000076</v>
      </c>
      <c r="F242" s="38">
        <f t="shared" si="14"/>
        <v>-0.97559380000000062</v>
      </c>
      <c r="G242" s="38">
        <f t="shared" si="14"/>
        <v>-0.98009360000000056</v>
      </c>
      <c r="H242" s="38">
        <f t="shared" si="14"/>
        <v>-0.98587480000000038</v>
      </c>
      <c r="I242" s="38">
        <f t="shared" si="14"/>
        <v>-0.9926096000000002</v>
      </c>
      <c r="J242" s="38">
        <f t="shared" si="14"/>
        <v>-1</v>
      </c>
    </row>
    <row r="243" spans="1:10" ht="20.100000000000001" customHeight="1" x14ac:dyDescent="0.25">
      <c r="A243" s="37">
        <f t="shared" si="13"/>
        <v>1.0000000000000004</v>
      </c>
      <c r="B243" s="38">
        <f t="shared" si="14"/>
        <v>-1.0000000000000007</v>
      </c>
      <c r="C243" s="38">
        <f t="shared" si="14"/>
        <v>-1.0000000000000007</v>
      </c>
      <c r="D243" s="38">
        <f t="shared" si="14"/>
        <v>-1.0000000000000007</v>
      </c>
      <c r="E243" s="38">
        <f t="shared" si="14"/>
        <v>-1.0000000000000007</v>
      </c>
      <c r="F243" s="38">
        <f t="shared" si="14"/>
        <v>-1.0000000000000007</v>
      </c>
      <c r="G243" s="38">
        <f t="shared" si="14"/>
        <v>-1.0000000000000004</v>
      </c>
      <c r="H243" s="38">
        <f t="shared" si="14"/>
        <v>-1.0000000000000002</v>
      </c>
      <c r="I243" s="38">
        <f t="shared" si="14"/>
        <v>-1.0000000000000002</v>
      </c>
      <c r="J243" s="38">
        <f t="shared" si="14"/>
        <v>-1</v>
      </c>
    </row>
    <row r="245" spans="1:10" ht="20.100000000000001" customHeight="1" x14ac:dyDescent="0.25">
      <c r="A245" s="217" t="s">
        <v>393</v>
      </c>
      <c r="B245" s="217"/>
      <c r="C245" s="217"/>
      <c r="D245" s="217"/>
      <c r="E245" s="217"/>
      <c r="F245" s="217"/>
      <c r="G245" s="217"/>
      <c r="H245" s="217"/>
      <c r="I245" s="217"/>
      <c r="J245" s="217"/>
    </row>
    <row r="246" spans="1:10" ht="20.100000000000001" customHeight="1" x14ac:dyDescent="0.25">
      <c r="A246" s="217"/>
      <c r="B246" s="217"/>
      <c r="C246" s="217"/>
      <c r="D246" s="217"/>
      <c r="E246" s="217"/>
      <c r="F246" s="217"/>
      <c r="G246" s="217"/>
      <c r="H246" s="217"/>
      <c r="I246" s="217"/>
      <c r="J246" s="217"/>
    </row>
    <row r="247" spans="1:10" ht="20.100000000000001" customHeight="1" x14ac:dyDescent="0.25">
      <c r="A247" s="217"/>
      <c r="B247" s="217"/>
      <c r="C247" s="217"/>
      <c r="D247" s="217"/>
      <c r="E247" s="217"/>
      <c r="F247" s="217"/>
      <c r="G247" s="217"/>
      <c r="H247" s="217"/>
      <c r="I247" s="217"/>
      <c r="J247" s="217"/>
    </row>
    <row r="249" spans="1:10" ht="20.100000000000001" customHeight="1" x14ac:dyDescent="0.25">
      <c r="C249" s="39"/>
    </row>
    <row r="256" spans="1:10" ht="20.100000000000001" customHeight="1" x14ac:dyDescent="0.25">
      <c r="A256" s="218" t="s">
        <v>387</v>
      </c>
      <c r="B256" s="221" t="s">
        <v>388</v>
      </c>
      <c r="C256" s="221"/>
      <c r="D256" s="221"/>
      <c r="E256" s="221"/>
      <c r="F256" s="221"/>
      <c r="G256" s="221"/>
      <c r="H256" s="221"/>
      <c r="I256" s="221"/>
      <c r="J256" s="221"/>
    </row>
    <row r="257" spans="1:10" ht="20.100000000000001" customHeight="1" x14ac:dyDescent="0.25">
      <c r="A257" s="219"/>
      <c r="B257" s="222" t="s">
        <v>394</v>
      </c>
      <c r="C257" s="222"/>
      <c r="D257" s="222"/>
      <c r="E257" s="222"/>
      <c r="F257" s="222"/>
      <c r="G257" s="222"/>
      <c r="H257" s="222"/>
      <c r="I257" s="222"/>
      <c r="J257" s="222"/>
    </row>
    <row r="258" spans="1:10" ht="20.100000000000001" customHeight="1" x14ac:dyDescent="0.25">
      <c r="A258" s="219"/>
      <c r="B258" s="223" t="s">
        <v>390</v>
      </c>
      <c r="C258" s="223"/>
      <c r="D258" s="223"/>
      <c r="E258" s="223"/>
      <c r="F258" s="223"/>
      <c r="G258" s="223"/>
      <c r="H258" s="223"/>
      <c r="I258" s="223"/>
      <c r="J258" s="223"/>
    </row>
    <row r="259" spans="1:10" ht="20.100000000000001" customHeight="1" x14ac:dyDescent="0.25">
      <c r="A259" s="220"/>
      <c r="B259" s="31" t="str">
        <f t="shared" ref="B259:J259" si="15">B121</f>
        <v>A</v>
      </c>
      <c r="C259" s="31" t="str">
        <f t="shared" si="15"/>
        <v>B</v>
      </c>
      <c r="D259" s="31" t="str">
        <f t="shared" si="15"/>
        <v>C</v>
      </c>
      <c r="E259" s="31" t="str">
        <f t="shared" si="15"/>
        <v>D</v>
      </c>
      <c r="F259" s="31" t="str">
        <f t="shared" si="15"/>
        <v>E</v>
      </c>
      <c r="G259" s="31" t="str">
        <f t="shared" si="15"/>
        <v>F</v>
      </c>
      <c r="H259" s="31" t="str">
        <f t="shared" si="15"/>
        <v>G</v>
      </c>
      <c r="I259" s="31" t="str">
        <f t="shared" si="15"/>
        <v>H</v>
      </c>
      <c r="J259" s="31" t="str">
        <f t="shared" si="15"/>
        <v>I</v>
      </c>
    </row>
    <row r="260" spans="1:10" ht="20.100000000000001" customHeight="1" x14ac:dyDescent="0.25">
      <c r="A260" s="32">
        <v>0</v>
      </c>
      <c r="B260" s="40">
        <f t="shared" ref="B260:B276" si="16">1+B193</f>
        <v>1</v>
      </c>
      <c r="C260" s="40">
        <f t="shared" ref="C260:J260" si="17">1+C193</f>
        <v>0.99680000000000002</v>
      </c>
      <c r="D260" s="40">
        <f t="shared" si="17"/>
        <v>0.9748</v>
      </c>
      <c r="E260" s="40">
        <f t="shared" si="17"/>
        <v>0.91910000000000003</v>
      </c>
      <c r="F260" s="40">
        <f t="shared" si="17"/>
        <v>0.81899999999999995</v>
      </c>
      <c r="G260" s="40">
        <f t="shared" si="17"/>
        <v>0.66799999999999993</v>
      </c>
      <c r="H260" s="40">
        <f t="shared" si="17"/>
        <v>0.47399999999999998</v>
      </c>
      <c r="I260" s="40">
        <f t="shared" si="17"/>
        <v>0.248</v>
      </c>
      <c r="J260" s="40">
        <f t="shared" si="17"/>
        <v>0</v>
      </c>
    </row>
    <row r="261" spans="1:10" ht="20.100000000000001" customHeight="1" x14ac:dyDescent="0.25">
      <c r="A261" s="32">
        <f>A260+0.02</f>
        <v>0.02</v>
      </c>
      <c r="B261" s="40">
        <f t="shared" si="16"/>
        <v>0.98980000000000001</v>
      </c>
      <c r="C261" s="40">
        <f t="shared" ref="C261:J270" si="18">1+C194</f>
        <v>0.98663263999999995</v>
      </c>
      <c r="D261" s="40">
        <f t="shared" si="18"/>
        <v>0.96485704000000005</v>
      </c>
      <c r="E261" s="40">
        <f t="shared" si="18"/>
        <v>0.90972518000000002</v>
      </c>
      <c r="F261" s="40">
        <f t="shared" si="18"/>
        <v>0.81064619999999998</v>
      </c>
      <c r="G261" s="40">
        <f t="shared" si="18"/>
        <v>0.66118639999999984</v>
      </c>
      <c r="H261" s="40">
        <f t="shared" si="18"/>
        <v>0.46916519999999995</v>
      </c>
      <c r="I261" s="40">
        <f t="shared" si="18"/>
        <v>0.24547039999999998</v>
      </c>
      <c r="J261" s="40">
        <f t="shared" si="18"/>
        <v>0</v>
      </c>
    </row>
    <row r="262" spans="1:10" ht="20.100000000000001" customHeight="1" x14ac:dyDescent="0.25">
      <c r="A262" s="32">
        <f t="shared" ref="A262:A310" si="19">A261+0.02</f>
        <v>0.04</v>
      </c>
      <c r="B262" s="40">
        <f t="shared" si="16"/>
        <v>0.97919999999999996</v>
      </c>
      <c r="C262" s="40">
        <f t="shared" si="18"/>
        <v>0.97606656000000003</v>
      </c>
      <c r="D262" s="40">
        <f t="shared" si="18"/>
        <v>0.95452415999999995</v>
      </c>
      <c r="E262" s="40">
        <f t="shared" si="18"/>
        <v>0.89998272000000001</v>
      </c>
      <c r="F262" s="40">
        <f t="shared" si="18"/>
        <v>0.80196480000000003</v>
      </c>
      <c r="G262" s="40">
        <f t="shared" si="18"/>
        <v>0.65410559999999995</v>
      </c>
      <c r="H262" s="40">
        <f t="shared" si="18"/>
        <v>0.46414080000000002</v>
      </c>
      <c r="I262" s="40">
        <f t="shared" si="18"/>
        <v>0.24284159999999999</v>
      </c>
      <c r="J262" s="40">
        <f t="shared" si="18"/>
        <v>0</v>
      </c>
    </row>
    <row r="263" spans="1:10" ht="20.100000000000001" customHeight="1" x14ac:dyDescent="0.25">
      <c r="A263" s="32">
        <f t="shared" si="19"/>
        <v>0.06</v>
      </c>
      <c r="B263" s="40">
        <f t="shared" si="16"/>
        <v>0.96819999999999995</v>
      </c>
      <c r="C263" s="40">
        <f t="shared" si="18"/>
        <v>0.96510176000000003</v>
      </c>
      <c r="D263" s="40">
        <f t="shared" si="18"/>
        <v>0.94380136000000003</v>
      </c>
      <c r="E263" s="40">
        <f t="shared" si="18"/>
        <v>0.88987262</v>
      </c>
      <c r="F263" s="40">
        <f t="shared" si="18"/>
        <v>0.79295579999999999</v>
      </c>
      <c r="G263" s="40">
        <f t="shared" si="18"/>
        <v>0.64675760000000004</v>
      </c>
      <c r="H263" s="40">
        <f t="shared" si="18"/>
        <v>0.45892679999999997</v>
      </c>
      <c r="I263" s="40">
        <f t="shared" si="18"/>
        <v>0.24011359999999993</v>
      </c>
      <c r="J263" s="40">
        <f t="shared" si="18"/>
        <v>0</v>
      </c>
    </row>
    <row r="264" spans="1:10" ht="20.100000000000001" customHeight="1" x14ac:dyDescent="0.25">
      <c r="A264" s="32">
        <f t="shared" si="19"/>
        <v>0.08</v>
      </c>
      <c r="B264" s="40">
        <f t="shared" si="16"/>
        <v>0.95679999999999998</v>
      </c>
      <c r="C264" s="40">
        <f t="shared" si="18"/>
        <v>0.95373823999999996</v>
      </c>
      <c r="D264" s="40">
        <f t="shared" si="18"/>
        <v>0.93268863999999996</v>
      </c>
      <c r="E264" s="40">
        <f t="shared" si="18"/>
        <v>0.87939487999999999</v>
      </c>
      <c r="F264" s="40">
        <f t="shared" si="18"/>
        <v>0.78361919999999996</v>
      </c>
      <c r="G264" s="40">
        <f t="shared" si="18"/>
        <v>0.63914239999999989</v>
      </c>
      <c r="H264" s="40">
        <f t="shared" si="18"/>
        <v>0.4535231999999999</v>
      </c>
      <c r="I264" s="40">
        <f t="shared" si="18"/>
        <v>0.2372863999999999</v>
      </c>
      <c r="J264" s="40">
        <f t="shared" si="18"/>
        <v>0</v>
      </c>
    </row>
    <row r="265" spans="1:10" ht="20.100000000000001" customHeight="1" x14ac:dyDescent="0.25">
      <c r="A265" s="32">
        <f t="shared" si="19"/>
        <v>0.1</v>
      </c>
      <c r="B265" s="40">
        <f t="shared" si="16"/>
        <v>0.94499999999999995</v>
      </c>
      <c r="C265" s="40">
        <f t="shared" si="18"/>
        <v>0.94197600000000004</v>
      </c>
      <c r="D265" s="40">
        <f t="shared" si="18"/>
        <v>0.92118599999999995</v>
      </c>
      <c r="E265" s="40">
        <f t="shared" si="18"/>
        <v>0.86854949999999997</v>
      </c>
      <c r="F265" s="40">
        <f t="shared" si="18"/>
        <v>0.77395499999999995</v>
      </c>
      <c r="G265" s="40">
        <f t="shared" si="18"/>
        <v>0.63125999999999993</v>
      </c>
      <c r="H265" s="40">
        <f t="shared" si="18"/>
        <v>0.44792999999999994</v>
      </c>
      <c r="I265" s="40">
        <f t="shared" si="18"/>
        <v>0.2343599999999999</v>
      </c>
      <c r="J265" s="40">
        <f t="shared" si="18"/>
        <v>0</v>
      </c>
    </row>
    <row r="266" spans="1:10" ht="20.100000000000001" customHeight="1" x14ac:dyDescent="0.25">
      <c r="A266" s="32">
        <f t="shared" si="19"/>
        <v>0.12000000000000001</v>
      </c>
      <c r="B266" s="40">
        <f t="shared" si="16"/>
        <v>0.93279999999999996</v>
      </c>
      <c r="C266" s="40">
        <f t="shared" si="18"/>
        <v>0.92981504000000004</v>
      </c>
      <c r="D266" s="40">
        <f t="shared" si="18"/>
        <v>0.90929344000000001</v>
      </c>
      <c r="E266" s="40">
        <f t="shared" si="18"/>
        <v>0.85733647999999996</v>
      </c>
      <c r="F266" s="40">
        <f t="shared" si="18"/>
        <v>0.76396319999999995</v>
      </c>
      <c r="G266" s="40">
        <f t="shared" si="18"/>
        <v>0.62311040000000006</v>
      </c>
      <c r="H266" s="40">
        <f t="shared" si="18"/>
        <v>0.44214719999999996</v>
      </c>
      <c r="I266" s="40">
        <f t="shared" si="18"/>
        <v>0.23133440000000005</v>
      </c>
      <c r="J266" s="40">
        <f t="shared" si="18"/>
        <v>0</v>
      </c>
    </row>
    <row r="267" spans="1:10" ht="20.100000000000001" customHeight="1" x14ac:dyDescent="0.25">
      <c r="A267" s="32">
        <f t="shared" si="19"/>
        <v>0.14000000000000001</v>
      </c>
      <c r="B267" s="40">
        <f t="shared" si="16"/>
        <v>0.92020000000000002</v>
      </c>
      <c r="C267" s="40">
        <f t="shared" si="18"/>
        <v>0.91725535999999996</v>
      </c>
      <c r="D267" s="40">
        <f t="shared" si="18"/>
        <v>0.89701096000000002</v>
      </c>
      <c r="E267" s="40">
        <f t="shared" si="18"/>
        <v>0.84575581999999994</v>
      </c>
      <c r="F267" s="40">
        <f t="shared" si="18"/>
        <v>0.75364379999999997</v>
      </c>
      <c r="G267" s="40">
        <f t="shared" si="18"/>
        <v>0.61469359999999995</v>
      </c>
      <c r="H267" s="40">
        <f t="shared" si="18"/>
        <v>0.43617479999999997</v>
      </c>
      <c r="I267" s="40">
        <f t="shared" si="18"/>
        <v>0.22820960000000001</v>
      </c>
      <c r="J267" s="40">
        <f t="shared" si="18"/>
        <v>0</v>
      </c>
    </row>
    <row r="268" spans="1:10" ht="20.100000000000001" customHeight="1" x14ac:dyDescent="0.25">
      <c r="A268" s="32">
        <f t="shared" si="19"/>
        <v>0.16</v>
      </c>
      <c r="B268" s="40">
        <f t="shared" si="16"/>
        <v>0.90720000000000001</v>
      </c>
      <c r="C268" s="40">
        <f t="shared" si="18"/>
        <v>0.90429695999999993</v>
      </c>
      <c r="D268" s="40">
        <f t="shared" si="18"/>
        <v>0.88433856</v>
      </c>
      <c r="E268" s="40">
        <f t="shared" si="18"/>
        <v>0.83380751999999991</v>
      </c>
      <c r="F268" s="40">
        <f t="shared" si="18"/>
        <v>0.74299680000000001</v>
      </c>
      <c r="G268" s="40">
        <f t="shared" si="18"/>
        <v>0.60600959999999993</v>
      </c>
      <c r="H268" s="40">
        <f t="shared" si="18"/>
        <v>0.43001279999999997</v>
      </c>
      <c r="I268" s="40">
        <f t="shared" si="18"/>
        <v>0.22498560000000001</v>
      </c>
      <c r="J268" s="40">
        <f t="shared" si="18"/>
        <v>0</v>
      </c>
    </row>
    <row r="269" spans="1:10" ht="20.100000000000001" customHeight="1" x14ac:dyDescent="0.25">
      <c r="A269" s="32">
        <f t="shared" si="19"/>
        <v>0.18</v>
      </c>
      <c r="B269" s="40">
        <f t="shared" si="16"/>
        <v>0.89380000000000004</v>
      </c>
      <c r="C269" s="40">
        <f t="shared" si="18"/>
        <v>0.89093984000000004</v>
      </c>
      <c r="D269" s="40">
        <f t="shared" si="18"/>
        <v>0.87127624000000004</v>
      </c>
      <c r="E269" s="40">
        <f t="shared" si="18"/>
        <v>0.82149158</v>
      </c>
      <c r="F269" s="40">
        <f t="shared" si="18"/>
        <v>0.73202220000000007</v>
      </c>
      <c r="G269" s="40">
        <f t="shared" si="18"/>
        <v>0.5970584000000001</v>
      </c>
      <c r="H269" s="40">
        <f t="shared" si="18"/>
        <v>0.42366120000000007</v>
      </c>
      <c r="I269" s="40">
        <f t="shared" si="18"/>
        <v>0.22166239999999993</v>
      </c>
      <c r="J269" s="40">
        <f t="shared" si="18"/>
        <v>0</v>
      </c>
    </row>
    <row r="270" spans="1:10" ht="20.100000000000001" customHeight="1" x14ac:dyDescent="0.25">
      <c r="A270" s="32">
        <f t="shared" si="19"/>
        <v>0.19999999999999998</v>
      </c>
      <c r="B270" s="40">
        <f t="shared" si="16"/>
        <v>0.88</v>
      </c>
      <c r="C270" s="40">
        <f t="shared" si="18"/>
        <v>0.87718399999999996</v>
      </c>
      <c r="D270" s="40">
        <f t="shared" si="18"/>
        <v>0.85782400000000003</v>
      </c>
      <c r="E270" s="40">
        <f t="shared" si="18"/>
        <v>0.80880799999999997</v>
      </c>
      <c r="F270" s="40">
        <f t="shared" si="18"/>
        <v>0.72072000000000003</v>
      </c>
      <c r="G270" s="40">
        <f t="shared" si="18"/>
        <v>0.58783999999999992</v>
      </c>
      <c r="H270" s="40">
        <f t="shared" si="18"/>
        <v>0.41711999999999994</v>
      </c>
      <c r="I270" s="40">
        <f t="shared" si="18"/>
        <v>0.21823999999999999</v>
      </c>
      <c r="J270" s="40">
        <f t="shared" si="18"/>
        <v>0</v>
      </c>
    </row>
    <row r="271" spans="1:10" ht="20.100000000000001" customHeight="1" x14ac:dyDescent="0.25">
      <c r="A271" s="32">
        <f t="shared" si="19"/>
        <v>0.21999999999999997</v>
      </c>
      <c r="B271" s="40">
        <f t="shared" si="16"/>
        <v>0.86580000000000001</v>
      </c>
      <c r="C271" s="40">
        <f t="shared" ref="C271:J276" si="20">1+C204</f>
        <v>0.86302944000000004</v>
      </c>
      <c r="D271" s="40">
        <f t="shared" si="20"/>
        <v>0.84398183999999998</v>
      </c>
      <c r="E271" s="40">
        <f t="shared" si="20"/>
        <v>0.79575678000000005</v>
      </c>
      <c r="F271" s="40">
        <f t="shared" si="20"/>
        <v>0.7090902</v>
      </c>
      <c r="G271" s="40">
        <f t="shared" si="20"/>
        <v>0.57835440000000005</v>
      </c>
      <c r="H271" s="40">
        <f t="shared" si="20"/>
        <v>0.41038920000000001</v>
      </c>
      <c r="I271" s="40">
        <f t="shared" si="20"/>
        <v>0.21471839999999998</v>
      </c>
      <c r="J271" s="40">
        <f t="shared" si="20"/>
        <v>0</v>
      </c>
    </row>
    <row r="272" spans="1:10" ht="20.100000000000001" customHeight="1" x14ac:dyDescent="0.25">
      <c r="A272" s="32">
        <f t="shared" si="19"/>
        <v>0.23999999999999996</v>
      </c>
      <c r="B272" s="40">
        <f t="shared" si="16"/>
        <v>0.85119999999999996</v>
      </c>
      <c r="C272" s="40">
        <f t="shared" si="20"/>
        <v>0.84847616000000003</v>
      </c>
      <c r="D272" s="40">
        <f t="shared" si="20"/>
        <v>0.82974976</v>
      </c>
      <c r="E272" s="40">
        <f t="shared" si="20"/>
        <v>0.78233792000000002</v>
      </c>
      <c r="F272" s="40">
        <f t="shared" si="20"/>
        <v>0.6971328</v>
      </c>
      <c r="G272" s="40">
        <f t="shared" si="20"/>
        <v>0.56860159999999993</v>
      </c>
      <c r="H272" s="40">
        <f t="shared" si="20"/>
        <v>0.40346879999999996</v>
      </c>
      <c r="I272" s="40">
        <f t="shared" si="20"/>
        <v>0.2110976</v>
      </c>
      <c r="J272" s="40">
        <f t="shared" si="20"/>
        <v>0</v>
      </c>
    </row>
    <row r="273" spans="1:10" ht="20.100000000000001" customHeight="1" x14ac:dyDescent="0.25">
      <c r="A273" s="32">
        <f t="shared" si="19"/>
        <v>0.25999999999999995</v>
      </c>
      <c r="B273" s="40">
        <f t="shared" si="16"/>
        <v>0.83620000000000005</v>
      </c>
      <c r="C273" s="40">
        <f t="shared" si="20"/>
        <v>0.83352416000000007</v>
      </c>
      <c r="D273" s="40">
        <f t="shared" si="20"/>
        <v>0.81512775999999998</v>
      </c>
      <c r="E273" s="40">
        <f t="shared" si="20"/>
        <v>0.76855141999999999</v>
      </c>
      <c r="F273" s="40">
        <f t="shared" si="20"/>
        <v>0.68484780000000001</v>
      </c>
      <c r="G273" s="40">
        <f t="shared" si="20"/>
        <v>0.5585815999999999</v>
      </c>
      <c r="H273" s="40">
        <f t="shared" si="20"/>
        <v>0.39635880000000001</v>
      </c>
      <c r="I273" s="40">
        <f t="shared" si="20"/>
        <v>0.20737759999999994</v>
      </c>
      <c r="J273" s="40">
        <f t="shared" si="20"/>
        <v>0</v>
      </c>
    </row>
    <row r="274" spans="1:10" ht="20.100000000000001" customHeight="1" x14ac:dyDescent="0.25">
      <c r="A274" s="32">
        <f t="shared" si="19"/>
        <v>0.27999999999999997</v>
      </c>
      <c r="B274" s="40">
        <f t="shared" si="16"/>
        <v>0.82079999999999997</v>
      </c>
      <c r="C274" s="40">
        <f t="shared" si="20"/>
        <v>0.81817344000000003</v>
      </c>
      <c r="D274" s="40">
        <f t="shared" si="20"/>
        <v>0.80011584000000002</v>
      </c>
      <c r="E274" s="40">
        <f t="shared" si="20"/>
        <v>0.75439728000000006</v>
      </c>
      <c r="F274" s="40">
        <f t="shared" si="20"/>
        <v>0.67223520000000003</v>
      </c>
      <c r="G274" s="40">
        <f t="shared" si="20"/>
        <v>0.54829440000000007</v>
      </c>
      <c r="H274" s="40">
        <f t="shared" si="20"/>
        <v>0.38905919999999994</v>
      </c>
      <c r="I274" s="40">
        <f t="shared" si="20"/>
        <v>0.20355840000000003</v>
      </c>
      <c r="J274" s="40">
        <f t="shared" si="20"/>
        <v>0</v>
      </c>
    </row>
    <row r="275" spans="1:10" ht="20.100000000000001" customHeight="1" x14ac:dyDescent="0.25">
      <c r="A275" s="32">
        <f t="shared" si="19"/>
        <v>0.3</v>
      </c>
      <c r="B275" s="40">
        <f t="shared" si="16"/>
        <v>0.80499999999999994</v>
      </c>
      <c r="C275" s="40">
        <f t="shared" si="20"/>
        <v>0.80242400000000003</v>
      </c>
      <c r="D275" s="40">
        <f t="shared" si="20"/>
        <v>0.78471400000000002</v>
      </c>
      <c r="E275" s="40">
        <f t="shared" si="20"/>
        <v>0.73987549999999991</v>
      </c>
      <c r="F275" s="40">
        <f t="shared" si="20"/>
        <v>0.65929499999999996</v>
      </c>
      <c r="G275" s="40">
        <f t="shared" si="20"/>
        <v>0.53774</v>
      </c>
      <c r="H275" s="40">
        <f t="shared" si="20"/>
        <v>0.38156999999999996</v>
      </c>
      <c r="I275" s="40">
        <f t="shared" si="20"/>
        <v>0.19964000000000004</v>
      </c>
      <c r="J275" s="40">
        <f t="shared" si="20"/>
        <v>0</v>
      </c>
    </row>
    <row r="276" spans="1:10" ht="20.100000000000001" customHeight="1" x14ac:dyDescent="0.25">
      <c r="A276" s="32">
        <f t="shared" si="19"/>
        <v>0.32</v>
      </c>
      <c r="B276" s="40">
        <f t="shared" si="16"/>
        <v>0.78879999999999995</v>
      </c>
      <c r="C276" s="40">
        <f t="shared" si="20"/>
        <v>0.78627583999999995</v>
      </c>
      <c r="D276" s="40">
        <f t="shared" si="20"/>
        <v>0.76892223999999998</v>
      </c>
      <c r="E276" s="40">
        <f t="shared" si="20"/>
        <v>0.72498607999999998</v>
      </c>
      <c r="F276" s="40">
        <f t="shared" si="20"/>
        <v>0.64602720000000002</v>
      </c>
      <c r="G276" s="40">
        <f t="shared" si="20"/>
        <v>0.52691840000000001</v>
      </c>
      <c r="H276" s="40">
        <f t="shared" si="20"/>
        <v>0.37389120000000009</v>
      </c>
      <c r="I276" s="40">
        <f t="shared" si="20"/>
        <v>0.19562239999999997</v>
      </c>
      <c r="J276" s="40">
        <f t="shared" si="20"/>
        <v>0</v>
      </c>
    </row>
    <row r="277" spans="1:10" ht="20.100000000000001" customHeight="1" x14ac:dyDescent="0.25">
      <c r="A277" s="32">
        <f t="shared" si="19"/>
        <v>0.34</v>
      </c>
      <c r="B277" s="40">
        <f t="shared" ref="B277:J292" si="21">1+B210</f>
        <v>0.7722</v>
      </c>
      <c r="C277" s="40">
        <f t="shared" si="21"/>
        <v>0.76972895999999991</v>
      </c>
      <c r="D277" s="40">
        <f t="shared" si="21"/>
        <v>0.75274055999999989</v>
      </c>
      <c r="E277" s="40">
        <f t="shared" si="21"/>
        <v>0.70972901999999993</v>
      </c>
      <c r="F277" s="40">
        <f t="shared" si="21"/>
        <v>0.63243179999999999</v>
      </c>
      <c r="G277" s="40">
        <f t="shared" si="21"/>
        <v>0.5158296</v>
      </c>
      <c r="H277" s="40">
        <f t="shared" si="21"/>
        <v>0.36602279999999998</v>
      </c>
      <c r="I277" s="40">
        <f t="shared" si="21"/>
        <v>0.19150559999999983</v>
      </c>
      <c r="J277" s="40">
        <f t="shared" si="21"/>
        <v>0</v>
      </c>
    </row>
    <row r="278" spans="1:10" ht="20.100000000000001" customHeight="1" x14ac:dyDescent="0.25">
      <c r="A278" s="32">
        <f t="shared" si="19"/>
        <v>0.36000000000000004</v>
      </c>
      <c r="B278" s="40">
        <f t="shared" si="21"/>
        <v>0.75519999999999998</v>
      </c>
      <c r="C278" s="40">
        <f t="shared" si="21"/>
        <v>0.75278336000000001</v>
      </c>
      <c r="D278" s="40">
        <f t="shared" si="21"/>
        <v>0.73616895999999998</v>
      </c>
      <c r="E278" s="40">
        <f t="shared" si="21"/>
        <v>0.69410432</v>
      </c>
      <c r="F278" s="40">
        <f t="shared" si="21"/>
        <v>0.61850880000000008</v>
      </c>
      <c r="G278" s="40">
        <f t="shared" si="21"/>
        <v>0.50447360000000008</v>
      </c>
      <c r="H278" s="40">
        <f t="shared" si="21"/>
        <v>0.35796479999999997</v>
      </c>
      <c r="I278" s="40">
        <f t="shared" si="21"/>
        <v>0.18728960000000006</v>
      </c>
      <c r="J278" s="40">
        <f t="shared" si="21"/>
        <v>0</v>
      </c>
    </row>
    <row r="279" spans="1:10" ht="20.100000000000001" customHeight="1" x14ac:dyDescent="0.25">
      <c r="A279" s="32">
        <f t="shared" si="19"/>
        <v>0.38000000000000006</v>
      </c>
      <c r="B279" s="40">
        <f t="shared" si="21"/>
        <v>0.73780000000000001</v>
      </c>
      <c r="C279" s="40">
        <f t="shared" si="21"/>
        <v>0.73543903999999993</v>
      </c>
      <c r="D279" s="40">
        <f t="shared" si="21"/>
        <v>0.71920743999999992</v>
      </c>
      <c r="E279" s="40">
        <f t="shared" si="21"/>
        <v>0.67811197999999995</v>
      </c>
      <c r="F279" s="40">
        <f t="shared" si="21"/>
        <v>0.60425819999999997</v>
      </c>
      <c r="G279" s="40">
        <f t="shared" si="21"/>
        <v>0.49285039999999991</v>
      </c>
      <c r="H279" s="40">
        <f t="shared" si="21"/>
        <v>0.34971720000000006</v>
      </c>
      <c r="I279" s="40">
        <f t="shared" si="21"/>
        <v>0.18297439999999998</v>
      </c>
      <c r="J279" s="40">
        <f t="shared" si="21"/>
        <v>0</v>
      </c>
    </row>
    <row r="280" spans="1:10" ht="20.100000000000001" customHeight="1" x14ac:dyDescent="0.25">
      <c r="A280" s="32">
        <f t="shared" si="19"/>
        <v>0.40000000000000008</v>
      </c>
      <c r="B280" s="40">
        <f t="shared" si="21"/>
        <v>0.72</v>
      </c>
      <c r="C280" s="40">
        <f t="shared" si="21"/>
        <v>0.71769599999999989</v>
      </c>
      <c r="D280" s="40">
        <f t="shared" si="21"/>
        <v>0.70185599999999992</v>
      </c>
      <c r="E280" s="40">
        <f t="shared" si="21"/>
        <v>0.6617519999999999</v>
      </c>
      <c r="F280" s="40">
        <f t="shared" si="21"/>
        <v>0.58967999999999987</v>
      </c>
      <c r="G280" s="40">
        <f t="shared" si="21"/>
        <v>0.48095999999999994</v>
      </c>
      <c r="H280" s="40">
        <f t="shared" si="21"/>
        <v>0.34127999999999981</v>
      </c>
      <c r="I280" s="40">
        <f t="shared" si="21"/>
        <v>0.17855999999999994</v>
      </c>
      <c r="J280" s="40">
        <f t="shared" si="21"/>
        <v>0</v>
      </c>
    </row>
    <row r="281" spans="1:10" ht="20.100000000000001" customHeight="1" x14ac:dyDescent="0.25">
      <c r="A281" s="32">
        <f t="shared" si="19"/>
        <v>0.4200000000000001</v>
      </c>
      <c r="B281" s="40">
        <f t="shared" si="21"/>
        <v>0.70179999999999998</v>
      </c>
      <c r="C281" s="40">
        <f t="shared" si="21"/>
        <v>0.69955423999999988</v>
      </c>
      <c r="D281" s="40">
        <f t="shared" si="21"/>
        <v>0.68411464</v>
      </c>
      <c r="E281" s="40">
        <f t="shared" si="21"/>
        <v>0.64502437999999995</v>
      </c>
      <c r="F281" s="40">
        <f t="shared" si="21"/>
        <v>0.57477420000000001</v>
      </c>
      <c r="G281" s="40">
        <f t="shared" si="21"/>
        <v>0.46880239999999984</v>
      </c>
      <c r="H281" s="40">
        <f t="shared" si="21"/>
        <v>0.33265319999999998</v>
      </c>
      <c r="I281" s="40">
        <f t="shared" si="21"/>
        <v>0.17404640000000005</v>
      </c>
      <c r="J281" s="40">
        <f t="shared" si="21"/>
        <v>0</v>
      </c>
    </row>
    <row r="282" spans="1:10" ht="20.100000000000001" customHeight="1" x14ac:dyDescent="0.25">
      <c r="A282" s="32">
        <f t="shared" si="19"/>
        <v>0.44000000000000011</v>
      </c>
      <c r="B282" s="40">
        <f t="shared" si="21"/>
        <v>0.68319999999999992</v>
      </c>
      <c r="C282" s="40">
        <f t="shared" si="21"/>
        <v>0.68101375999999991</v>
      </c>
      <c r="D282" s="40">
        <f t="shared" si="21"/>
        <v>0.66598336000000002</v>
      </c>
      <c r="E282" s="40">
        <f t="shared" si="21"/>
        <v>0.6279291199999999</v>
      </c>
      <c r="F282" s="40">
        <f t="shared" si="21"/>
        <v>0.55954079999999995</v>
      </c>
      <c r="G282" s="40">
        <f t="shared" si="21"/>
        <v>0.45637759999999994</v>
      </c>
      <c r="H282" s="40">
        <f t="shared" si="21"/>
        <v>0.32383680000000004</v>
      </c>
      <c r="I282" s="40">
        <f t="shared" si="21"/>
        <v>0.16943359999999996</v>
      </c>
      <c r="J282" s="40">
        <f t="shared" si="21"/>
        <v>0</v>
      </c>
    </row>
    <row r="283" spans="1:10" ht="20.100000000000001" customHeight="1" x14ac:dyDescent="0.25">
      <c r="A283" s="32">
        <f t="shared" si="19"/>
        <v>0.46000000000000013</v>
      </c>
      <c r="B283" s="40">
        <f t="shared" si="21"/>
        <v>0.6641999999999999</v>
      </c>
      <c r="C283" s="40">
        <f t="shared" si="21"/>
        <v>0.66207455999999987</v>
      </c>
      <c r="D283" s="40">
        <f t="shared" si="21"/>
        <v>0.6474621599999999</v>
      </c>
      <c r="E283" s="40">
        <f t="shared" si="21"/>
        <v>0.61046621999999984</v>
      </c>
      <c r="F283" s="40">
        <f t="shared" si="21"/>
        <v>0.5439797999999999</v>
      </c>
      <c r="G283" s="40">
        <f t="shared" si="21"/>
        <v>0.4436855999999999</v>
      </c>
      <c r="H283" s="40">
        <f t="shared" si="21"/>
        <v>0.31483079999999997</v>
      </c>
      <c r="I283" s="40">
        <f t="shared" si="21"/>
        <v>0.16472159999999991</v>
      </c>
      <c r="J283" s="40">
        <f t="shared" si="21"/>
        <v>0</v>
      </c>
    </row>
    <row r="284" spans="1:10" ht="20.100000000000001" customHeight="1" x14ac:dyDescent="0.25">
      <c r="A284" s="32">
        <f t="shared" si="19"/>
        <v>0.48000000000000015</v>
      </c>
      <c r="B284" s="40">
        <f t="shared" si="21"/>
        <v>0.64479999999999982</v>
      </c>
      <c r="C284" s="40">
        <f t="shared" si="21"/>
        <v>0.64273663999999986</v>
      </c>
      <c r="D284" s="40">
        <f t="shared" si="21"/>
        <v>0.62855103999999984</v>
      </c>
      <c r="E284" s="40">
        <f t="shared" si="21"/>
        <v>0.59263567999999989</v>
      </c>
      <c r="F284" s="40">
        <f t="shared" si="21"/>
        <v>0.52809119999999998</v>
      </c>
      <c r="G284" s="40">
        <f t="shared" si="21"/>
        <v>0.43072639999999995</v>
      </c>
      <c r="H284" s="40">
        <f t="shared" si="21"/>
        <v>0.30563519999999977</v>
      </c>
      <c r="I284" s="40">
        <f t="shared" si="21"/>
        <v>0.15991040000000001</v>
      </c>
      <c r="J284" s="40">
        <f t="shared" si="21"/>
        <v>0</v>
      </c>
    </row>
    <row r="285" spans="1:10" ht="20.100000000000001" customHeight="1" x14ac:dyDescent="0.25">
      <c r="A285" s="32">
        <f t="shared" si="19"/>
        <v>0.50000000000000011</v>
      </c>
      <c r="B285" s="40">
        <f t="shared" si="21"/>
        <v>0.62499999999999978</v>
      </c>
      <c r="C285" s="40">
        <f t="shared" si="21"/>
        <v>0.62299999999999978</v>
      </c>
      <c r="D285" s="40">
        <f t="shared" si="21"/>
        <v>0.60924999999999985</v>
      </c>
      <c r="E285" s="40">
        <f t="shared" si="21"/>
        <v>0.57443749999999993</v>
      </c>
      <c r="F285" s="40">
        <f t="shared" si="21"/>
        <v>0.51187499999999986</v>
      </c>
      <c r="G285" s="40">
        <f t="shared" si="21"/>
        <v>0.41749999999999987</v>
      </c>
      <c r="H285" s="40">
        <f t="shared" si="21"/>
        <v>0.29625000000000001</v>
      </c>
      <c r="I285" s="40">
        <f t="shared" si="21"/>
        <v>0.15500000000000003</v>
      </c>
      <c r="J285" s="40">
        <f t="shared" si="21"/>
        <v>0</v>
      </c>
    </row>
    <row r="286" spans="1:10" ht="20.100000000000001" customHeight="1" x14ac:dyDescent="0.25">
      <c r="A286" s="32">
        <f t="shared" si="19"/>
        <v>0.52000000000000013</v>
      </c>
      <c r="B286" s="40">
        <f t="shared" si="21"/>
        <v>0.60479999999999989</v>
      </c>
      <c r="C286" s="40">
        <f t="shared" si="21"/>
        <v>0.60286463999999995</v>
      </c>
      <c r="D286" s="40">
        <f t="shared" si="21"/>
        <v>0.58955903999999992</v>
      </c>
      <c r="E286" s="40">
        <f t="shared" si="21"/>
        <v>0.55587167999999987</v>
      </c>
      <c r="F286" s="40">
        <f t="shared" si="21"/>
        <v>0.49533119999999986</v>
      </c>
      <c r="G286" s="40">
        <f t="shared" si="21"/>
        <v>0.40400639999999999</v>
      </c>
      <c r="H286" s="40">
        <f t="shared" si="21"/>
        <v>0.28667519999999991</v>
      </c>
      <c r="I286" s="40">
        <f t="shared" si="21"/>
        <v>0.14999039999999997</v>
      </c>
      <c r="J286" s="40">
        <f t="shared" si="21"/>
        <v>0</v>
      </c>
    </row>
    <row r="287" spans="1:10" ht="20.100000000000001" customHeight="1" x14ac:dyDescent="0.25">
      <c r="A287" s="32">
        <f t="shared" si="19"/>
        <v>0.54000000000000015</v>
      </c>
      <c r="B287" s="40">
        <f t="shared" si="21"/>
        <v>0.58419999999999983</v>
      </c>
      <c r="C287" s="40">
        <f t="shared" si="21"/>
        <v>0.58233055999999983</v>
      </c>
      <c r="D287" s="40">
        <f t="shared" si="21"/>
        <v>0.56947815999999984</v>
      </c>
      <c r="E287" s="40">
        <f t="shared" si="21"/>
        <v>0.53693821999999991</v>
      </c>
      <c r="F287" s="40">
        <f t="shared" si="21"/>
        <v>0.47845979999999988</v>
      </c>
      <c r="G287" s="40">
        <f t="shared" si="21"/>
        <v>0.39024559999999986</v>
      </c>
      <c r="H287" s="40">
        <f t="shared" si="21"/>
        <v>0.27691080000000001</v>
      </c>
      <c r="I287" s="40">
        <f t="shared" si="21"/>
        <v>0.14488159999999994</v>
      </c>
      <c r="J287" s="40">
        <f t="shared" si="21"/>
        <v>0</v>
      </c>
    </row>
    <row r="288" spans="1:10" ht="20.100000000000001" customHeight="1" x14ac:dyDescent="0.25">
      <c r="A288" s="32">
        <f t="shared" si="19"/>
        <v>0.56000000000000016</v>
      </c>
      <c r="B288" s="40">
        <f t="shared" si="21"/>
        <v>0.56319999999999981</v>
      </c>
      <c r="C288" s="40">
        <f t="shared" si="21"/>
        <v>0.56139775999999975</v>
      </c>
      <c r="D288" s="40">
        <f t="shared" si="21"/>
        <v>0.54900735999999983</v>
      </c>
      <c r="E288" s="40">
        <f t="shared" si="21"/>
        <v>0.51763711999999984</v>
      </c>
      <c r="F288" s="40">
        <f t="shared" si="21"/>
        <v>0.4612607999999998</v>
      </c>
      <c r="G288" s="40">
        <f t="shared" si="21"/>
        <v>0.37621759999999982</v>
      </c>
      <c r="H288" s="40">
        <f t="shared" si="21"/>
        <v>0.26695679999999977</v>
      </c>
      <c r="I288" s="40">
        <f t="shared" si="21"/>
        <v>0.13967359999999995</v>
      </c>
      <c r="J288" s="40">
        <f t="shared" si="21"/>
        <v>0</v>
      </c>
    </row>
    <row r="289" spans="1:10" ht="20.100000000000001" customHeight="1" x14ac:dyDescent="0.25">
      <c r="A289" s="32">
        <f t="shared" si="19"/>
        <v>0.58000000000000018</v>
      </c>
      <c r="B289" s="40">
        <f t="shared" si="21"/>
        <v>0.54179999999999984</v>
      </c>
      <c r="C289" s="40">
        <f t="shared" si="21"/>
        <v>0.54006623999999981</v>
      </c>
      <c r="D289" s="40">
        <f t="shared" si="21"/>
        <v>0.52814663999999989</v>
      </c>
      <c r="E289" s="40">
        <f t="shared" si="21"/>
        <v>0.49796837999999988</v>
      </c>
      <c r="F289" s="40">
        <f t="shared" si="21"/>
        <v>0.44373419999999986</v>
      </c>
      <c r="G289" s="40">
        <f t="shared" si="21"/>
        <v>0.36192239999999987</v>
      </c>
      <c r="H289" s="40">
        <f t="shared" si="21"/>
        <v>0.25681319999999996</v>
      </c>
      <c r="I289" s="40">
        <f t="shared" si="21"/>
        <v>0.1343664</v>
      </c>
      <c r="J289" s="40">
        <f t="shared" si="21"/>
        <v>0</v>
      </c>
    </row>
    <row r="290" spans="1:10" ht="20.100000000000001" customHeight="1" x14ac:dyDescent="0.25">
      <c r="A290" s="32">
        <f t="shared" si="19"/>
        <v>0.6000000000000002</v>
      </c>
      <c r="B290" s="40">
        <f t="shared" si="21"/>
        <v>0.5199999999999998</v>
      </c>
      <c r="C290" s="40">
        <f t="shared" si="21"/>
        <v>0.51833599999999969</v>
      </c>
      <c r="D290" s="40">
        <f t="shared" si="21"/>
        <v>0.50689599999999979</v>
      </c>
      <c r="E290" s="40">
        <f t="shared" si="21"/>
        <v>0.4779319999999998</v>
      </c>
      <c r="F290" s="40">
        <f t="shared" si="21"/>
        <v>0.42587999999999981</v>
      </c>
      <c r="G290" s="40">
        <f t="shared" si="21"/>
        <v>0.34735999999999989</v>
      </c>
      <c r="H290" s="40">
        <f t="shared" si="21"/>
        <v>0.24647999999999992</v>
      </c>
      <c r="I290" s="40">
        <f t="shared" si="21"/>
        <v>0.12895999999999985</v>
      </c>
      <c r="J290" s="40">
        <f t="shared" si="21"/>
        <v>0</v>
      </c>
    </row>
    <row r="291" spans="1:10" ht="20.100000000000001" customHeight="1" x14ac:dyDescent="0.25">
      <c r="A291" s="32">
        <f t="shared" si="19"/>
        <v>0.62000000000000022</v>
      </c>
      <c r="B291" s="40">
        <f t="shared" si="21"/>
        <v>0.4977999999999998</v>
      </c>
      <c r="C291" s="40">
        <f t="shared" si="21"/>
        <v>0.49620703999999982</v>
      </c>
      <c r="D291" s="40">
        <f t="shared" si="21"/>
        <v>0.48525543999999987</v>
      </c>
      <c r="E291" s="40">
        <f t="shared" si="21"/>
        <v>0.45752797999999983</v>
      </c>
      <c r="F291" s="40">
        <f t="shared" si="21"/>
        <v>0.40769819999999979</v>
      </c>
      <c r="G291" s="40">
        <f t="shared" si="21"/>
        <v>0.33253039999999989</v>
      </c>
      <c r="H291" s="40">
        <f t="shared" si="21"/>
        <v>0.23595719999999987</v>
      </c>
      <c r="I291" s="40">
        <f t="shared" si="21"/>
        <v>0.12345439999999996</v>
      </c>
      <c r="J291" s="40">
        <f t="shared" si="21"/>
        <v>0</v>
      </c>
    </row>
    <row r="292" spans="1:10" ht="20.100000000000001" customHeight="1" x14ac:dyDescent="0.25">
      <c r="A292" s="32">
        <f t="shared" si="19"/>
        <v>0.64000000000000024</v>
      </c>
      <c r="B292" s="40">
        <f t="shared" si="21"/>
        <v>0.47519999999999973</v>
      </c>
      <c r="C292" s="40">
        <f t="shared" si="21"/>
        <v>0.47367935999999977</v>
      </c>
      <c r="D292" s="40">
        <f t="shared" si="21"/>
        <v>0.46322495999999969</v>
      </c>
      <c r="E292" s="40">
        <f t="shared" si="21"/>
        <v>0.43675631999999975</v>
      </c>
      <c r="F292" s="40">
        <f t="shared" si="21"/>
        <v>0.38918879999999978</v>
      </c>
      <c r="G292" s="40">
        <f t="shared" si="21"/>
        <v>0.31743359999999976</v>
      </c>
      <c r="H292" s="40">
        <f t="shared" si="21"/>
        <v>0.2252447999999998</v>
      </c>
      <c r="I292" s="40">
        <f t="shared" si="21"/>
        <v>0.11784959999999989</v>
      </c>
      <c r="J292" s="40">
        <f t="shared" si="21"/>
        <v>0</v>
      </c>
    </row>
    <row r="293" spans="1:10" ht="20.100000000000001" customHeight="1" x14ac:dyDescent="0.25">
      <c r="A293" s="32">
        <f t="shared" si="19"/>
        <v>0.66000000000000025</v>
      </c>
      <c r="B293" s="40">
        <f t="shared" ref="B293:J308" si="22">1+B226</f>
        <v>0.45219999999999971</v>
      </c>
      <c r="C293" s="40">
        <f t="shared" si="22"/>
        <v>0.45075295999999976</v>
      </c>
      <c r="D293" s="40">
        <f t="shared" si="22"/>
        <v>0.44080455999999968</v>
      </c>
      <c r="E293" s="40">
        <f t="shared" si="22"/>
        <v>0.41561701999999978</v>
      </c>
      <c r="F293" s="40">
        <f t="shared" si="22"/>
        <v>0.37035179999999979</v>
      </c>
      <c r="G293" s="40">
        <f t="shared" si="22"/>
        <v>0.30206959999999983</v>
      </c>
      <c r="H293" s="40">
        <f t="shared" si="22"/>
        <v>0.21434279999999983</v>
      </c>
      <c r="I293" s="40">
        <f t="shared" si="22"/>
        <v>0.11214559999999996</v>
      </c>
      <c r="J293" s="40">
        <f t="shared" si="22"/>
        <v>0</v>
      </c>
    </row>
    <row r="294" spans="1:10" ht="20.100000000000001" customHeight="1" x14ac:dyDescent="0.25">
      <c r="A294" s="32">
        <f t="shared" si="19"/>
        <v>0.68000000000000027</v>
      </c>
      <c r="B294" s="40">
        <f t="shared" si="22"/>
        <v>0.42879999999999963</v>
      </c>
      <c r="C294" s="40">
        <f t="shared" si="22"/>
        <v>0.42742783999999956</v>
      </c>
      <c r="D294" s="40">
        <f t="shared" si="22"/>
        <v>0.41799423999999963</v>
      </c>
      <c r="E294" s="40">
        <f t="shared" si="22"/>
        <v>0.3941100799999997</v>
      </c>
      <c r="F294" s="40">
        <f t="shared" si="22"/>
        <v>0.3511871999999997</v>
      </c>
      <c r="G294" s="40">
        <f t="shared" si="22"/>
        <v>0.28643839999999965</v>
      </c>
      <c r="H294" s="40">
        <f t="shared" si="22"/>
        <v>0.20325119999999985</v>
      </c>
      <c r="I294" s="40">
        <f t="shared" si="22"/>
        <v>0.10634239999999973</v>
      </c>
      <c r="J294" s="40">
        <f t="shared" si="22"/>
        <v>0</v>
      </c>
    </row>
    <row r="295" spans="1:10" ht="20.100000000000001" customHeight="1" x14ac:dyDescent="0.25">
      <c r="A295" s="32">
        <f t="shared" si="19"/>
        <v>0.70000000000000029</v>
      </c>
      <c r="B295" s="40">
        <f t="shared" si="22"/>
        <v>0.40499999999999969</v>
      </c>
      <c r="C295" s="40">
        <f t="shared" si="22"/>
        <v>0.40370399999999973</v>
      </c>
      <c r="D295" s="40">
        <f t="shared" si="22"/>
        <v>0.39479399999999965</v>
      </c>
      <c r="E295" s="40">
        <f t="shared" si="22"/>
        <v>0.37223549999999972</v>
      </c>
      <c r="F295" s="40">
        <f t="shared" si="22"/>
        <v>0.33169499999999974</v>
      </c>
      <c r="G295" s="40">
        <f t="shared" si="22"/>
        <v>0.27053999999999978</v>
      </c>
      <c r="H295" s="40">
        <f t="shared" si="22"/>
        <v>0.19196999999999986</v>
      </c>
      <c r="I295" s="40">
        <f t="shared" si="22"/>
        <v>0.10043999999999986</v>
      </c>
      <c r="J295" s="40">
        <f t="shared" si="22"/>
        <v>0</v>
      </c>
    </row>
    <row r="296" spans="1:10" ht="20.100000000000001" customHeight="1" x14ac:dyDescent="0.25">
      <c r="A296" s="32">
        <f t="shared" si="19"/>
        <v>0.72000000000000031</v>
      </c>
      <c r="B296" s="40">
        <f t="shared" si="22"/>
        <v>0.38079999999999958</v>
      </c>
      <c r="C296" s="40">
        <f t="shared" si="22"/>
        <v>0.37958143999999949</v>
      </c>
      <c r="D296" s="40">
        <f t="shared" si="22"/>
        <v>0.37120383999999962</v>
      </c>
      <c r="E296" s="40">
        <f t="shared" si="22"/>
        <v>0.34999327999999963</v>
      </c>
      <c r="F296" s="40">
        <f t="shared" si="22"/>
        <v>0.31187519999999969</v>
      </c>
      <c r="G296" s="40">
        <f t="shared" si="22"/>
        <v>0.25437439999999967</v>
      </c>
      <c r="H296" s="40">
        <f t="shared" si="22"/>
        <v>0.18049919999999986</v>
      </c>
      <c r="I296" s="40">
        <f t="shared" si="22"/>
        <v>9.4438399999999922E-2</v>
      </c>
      <c r="J296" s="40">
        <f t="shared" si="22"/>
        <v>0</v>
      </c>
    </row>
    <row r="297" spans="1:10" ht="20.100000000000001" customHeight="1" x14ac:dyDescent="0.25">
      <c r="A297" s="32">
        <f t="shared" si="19"/>
        <v>0.74000000000000032</v>
      </c>
      <c r="B297" s="40">
        <f t="shared" si="22"/>
        <v>0.35619999999999963</v>
      </c>
      <c r="C297" s="40">
        <f t="shared" si="22"/>
        <v>0.35506015999999962</v>
      </c>
      <c r="D297" s="40">
        <f t="shared" si="22"/>
        <v>0.34722375999999966</v>
      </c>
      <c r="E297" s="40">
        <f t="shared" si="22"/>
        <v>0.32738341999999965</v>
      </c>
      <c r="F297" s="40">
        <f t="shared" si="22"/>
        <v>0.29172779999999965</v>
      </c>
      <c r="G297" s="40">
        <f t="shared" si="22"/>
        <v>0.23794159999999975</v>
      </c>
      <c r="H297" s="40">
        <f t="shared" si="22"/>
        <v>0.16883879999999973</v>
      </c>
      <c r="I297" s="40">
        <f t="shared" si="22"/>
        <v>8.8337599999999794E-2</v>
      </c>
      <c r="J297" s="40">
        <f t="shared" si="22"/>
        <v>0</v>
      </c>
    </row>
    <row r="298" spans="1:10" ht="20.100000000000001" customHeight="1" x14ac:dyDescent="0.25">
      <c r="A298" s="32">
        <f t="shared" si="19"/>
        <v>0.76000000000000034</v>
      </c>
      <c r="B298" s="40">
        <f t="shared" si="22"/>
        <v>0.33119999999999949</v>
      </c>
      <c r="C298" s="40">
        <f t="shared" si="22"/>
        <v>0.33014015999999946</v>
      </c>
      <c r="D298" s="40">
        <f t="shared" si="22"/>
        <v>0.32285375999999943</v>
      </c>
      <c r="E298" s="40">
        <f t="shared" si="22"/>
        <v>0.30440591999999955</v>
      </c>
      <c r="F298" s="40">
        <f t="shared" si="22"/>
        <v>0.27125279999999963</v>
      </c>
      <c r="G298" s="40">
        <f t="shared" si="22"/>
        <v>0.22124159999999959</v>
      </c>
      <c r="H298" s="40">
        <f t="shared" si="22"/>
        <v>0.15698879999999971</v>
      </c>
      <c r="I298" s="40">
        <f t="shared" si="22"/>
        <v>8.2137599999999811E-2</v>
      </c>
      <c r="J298" s="40">
        <f t="shared" si="22"/>
        <v>0</v>
      </c>
    </row>
    <row r="299" spans="1:10" ht="20.100000000000001" customHeight="1" x14ac:dyDescent="0.25">
      <c r="A299" s="32">
        <f t="shared" si="19"/>
        <v>0.78000000000000036</v>
      </c>
      <c r="B299" s="40">
        <f t="shared" si="22"/>
        <v>0.30579999999999952</v>
      </c>
      <c r="C299" s="40">
        <f t="shared" si="22"/>
        <v>0.30482143999999967</v>
      </c>
      <c r="D299" s="40">
        <f t="shared" si="22"/>
        <v>0.2980938399999995</v>
      </c>
      <c r="E299" s="40">
        <f t="shared" si="22"/>
        <v>0.28106077999999957</v>
      </c>
      <c r="F299" s="40">
        <f t="shared" si="22"/>
        <v>0.25045019999999962</v>
      </c>
      <c r="G299" s="40">
        <f t="shared" si="22"/>
        <v>0.20427439999999963</v>
      </c>
      <c r="H299" s="40">
        <f t="shared" si="22"/>
        <v>0.14494919999999978</v>
      </c>
      <c r="I299" s="40">
        <f t="shared" si="22"/>
        <v>7.5838399999999861E-2</v>
      </c>
      <c r="J299" s="40">
        <f t="shared" si="22"/>
        <v>0</v>
      </c>
    </row>
    <row r="300" spans="1:10" ht="20.100000000000001" customHeight="1" x14ac:dyDescent="0.25">
      <c r="A300" s="32">
        <f t="shared" si="19"/>
        <v>0.80000000000000038</v>
      </c>
      <c r="B300" s="40">
        <f t="shared" si="22"/>
        <v>0.27999999999999958</v>
      </c>
      <c r="C300" s="40">
        <f t="shared" si="22"/>
        <v>0.27910399999999957</v>
      </c>
      <c r="D300" s="40">
        <f t="shared" si="22"/>
        <v>0.27294399999999952</v>
      </c>
      <c r="E300" s="40">
        <f t="shared" si="22"/>
        <v>0.25734799999999969</v>
      </c>
      <c r="F300" s="40">
        <f t="shared" si="22"/>
        <v>0.22931999999999964</v>
      </c>
      <c r="G300" s="40">
        <f t="shared" si="22"/>
        <v>0.18703999999999965</v>
      </c>
      <c r="H300" s="40">
        <f t="shared" si="22"/>
        <v>0.13271999999999973</v>
      </c>
      <c r="I300" s="40">
        <f t="shared" si="22"/>
        <v>6.9439999999999835E-2</v>
      </c>
      <c r="J300" s="40">
        <f t="shared" si="22"/>
        <v>0</v>
      </c>
    </row>
    <row r="301" spans="1:10" ht="20.100000000000001" customHeight="1" x14ac:dyDescent="0.25">
      <c r="A301" s="32">
        <f t="shared" si="19"/>
        <v>0.8200000000000004</v>
      </c>
      <c r="B301" s="40">
        <f t="shared" si="22"/>
        <v>0.25379999999999958</v>
      </c>
      <c r="C301" s="40">
        <f t="shared" si="22"/>
        <v>0.25298783999999952</v>
      </c>
      <c r="D301" s="40">
        <f t="shared" si="22"/>
        <v>0.2474042399999995</v>
      </c>
      <c r="E301" s="40">
        <f t="shared" si="22"/>
        <v>0.23326757999999959</v>
      </c>
      <c r="F301" s="40">
        <f t="shared" si="22"/>
        <v>0.20786219999999955</v>
      </c>
      <c r="G301" s="40">
        <f t="shared" si="22"/>
        <v>0.16953839999999976</v>
      </c>
      <c r="H301" s="40">
        <f t="shared" si="22"/>
        <v>0.12030119999999977</v>
      </c>
      <c r="I301" s="40">
        <f t="shared" si="22"/>
        <v>6.2942399999999843E-2</v>
      </c>
      <c r="J301" s="40">
        <f t="shared" si="22"/>
        <v>0</v>
      </c>
    </row>
    <row r="302" spans="1:10" ht="20.100000000000001" customHeight="1" x14ac:dyDescent="0.25">
      <c r="A302" s="32">
        <f t="shared" si="19"/>
        <v>0.84000000000000041</v>
      </c>
      <c r="B302" s="40">
        <f t="shared" si="22"/>
        <v>0.2271999999999994</v>
      </c>
      <c r="C302" s="40">
        <f t="shared" si="22"/>
        <v>0.22647295999999939</v>
      </c>
      <c r="D302" s="40">
        <f t="shared" si="22"/>
        <v>0.22147455999999943</v>
      </c>
      <c r="E302" s="40">
        <f t="shared" si="22"/>
        <v>0.20881951999999937</v>
      </c>
      <c r="F302" s="40">
        <f t="shared" si="22"/>
        <v>0.1860767999999996</v>
      </c>
      <c r="G302" s="40">
        <f t="shared" si="22"/>
        <v>0.15176959999999962</v>
      </c>
      <c r="H302" s="40">
        <f t="shared" si="22"/>
        <v>0.10769279999999981</v>
      </c>
      <c r="I302" s="40">
        <f t="shared" si="22"/>
        <v>5.6345599999999774E-2</v>
      </c>
      <c r="J302" s="40">
        <f t="shared" si="22"/>
        <v>0</v>
      </c>
    </row>
    <row r="303" spans="1:10" ht="20.100000000000001" customHeight="1" x14ac:dyDescent="0.25">
      <c r="A303" s="32">
        <f t="shared" si="19"/>
        <v>0.86000000000000043</v>
      </c>
      <c r="B303" s="40">
        <f t="shared" si="22"/>
        <v>0.20019999999999949</v>
      </c>
      <c r="C303" s="40">
        <f t="shared" si="22"/>
        <v>0.19955935999999952</v>
      </c>
      <c r="D303" s="40">
        <f t="shared" si="22"/>
        <v>0.19515495999999954</v>
      </c>
      <c r="E303" s="40">
        <f t="shared" si="22"/>
        <v>0.18400381999999949</v>
      </c>
      <c r="F303" s="40">
        <f t="shared" si="22"/>
        <v>0.16396379999999966</v>
      </c>
      <c r="G303" s="40">
        <f t="shared" si="22"/>
        <v>0.13373359999999967</v>
      </c>
      <c r="H303" s="40">
        <f t="shared" si="22"/>
        <v>9.4894799999999724E-2</v>
      </c>
      <c r="I303" s="40">
        <f t="shared" si="22"/>
        <v>4.964959999999996E-2</v>
      </c>
      <c r="J303" s="40">
        <f t="shared" si="22"/>
        <v>0</v>
      </c>
    </row>
    <row r="304" spans="1:10" ht="20.100000000000001" customHeight="1" x14ac:dyDescent="0.25">
      <c r="A304" s="32">
        <f t="shared" si="19"/>
        <v>0.88000000000000045</v>
      </c>
      <c r="B304" s="40">
        <f t="shared" si="22"/>
        <v>0.1727999999999994</v>
      </c>
      <c r="C304" s="40">
        <f t="shared" si="22"/>
        <v>0.17224703999999946</v>
      </c>
      <c r="D304" s="40">
        <f t="shared" si="22"/>
        <v>0.16844543999999939</v>
      </c>
      <c r="E304" s="40">
        <f t="shared" si="22"/>
        <v>0.1588204799999996</v>
      </c>
      <c r="F304" s="40">
        <f t="shared" si="22"/>
        <v>0.14152319999999963</v>
      </c>
      <c r="G304" s="40">
        <f t="shared" si="22"/>
        <v>0.1154303999999996</v>
      </c>
      <c r="H304" s="40">
        <f t="shared" si="22"/>
        <v>8.1907199999999736E-2</v>
      </c>
      <c r="I304" s="40">
        <f t="shared" si="22"/>
        <v>4.2854399999999959E-2</v>
      </c>
      <c r="J304" s="40">
        <f t="shared" si="22"/>
        <v>0</v>
      </c>
    </row>
    <row r="305" spans="1:10" ht="20.100000000000001" customHeight="1" x14ac:dyDescent="0.25">
      <c r="A305" s="32">
        <f t="shared" si="19"/>
        <v>0.90000000000000047</v>
      </c>
      <c r="B305" s="40">
        <f t="shared" si="22"/>
        <v>0.14499999999999924</v>
      </c>
      <c r="C305" s="40">
        <f t="shared" si="22"/>
        <v>0.14453599999999922</v>
      </c>
      <c r="D305" s="40">
        <f t="shared" si="22"/>
        <v>0.14134599999999931</v>
      </c>
      <c r="E305" s="40">
        <f t="shared" si="22"/>
        <v>0.13326949999999937</v>
      </c>
      <c r="F305" s="40">
        <f t="shared" si="22"/>
        <v>0.1187549999999995</v>
      </c>
      <c r="G305" s="40">
        <f t="shared" si="22"/>
        <v>9.6859999999999502E-2</v>
      </c>
      <c r="H305" s="40">
        <f t="shared" si="22"/>
        <v>6.8729999999999625E-2</v>
      </c>
      <c r="I305" s="40">
        <f t="shared" si="22"/>
        <v>3.595999999999977E-2</v>
      </c>
      <c r="J305" s="40">
        <f t="shared" si="22"/>
        <v>0</v>
      </c>
    </row>
    <row r="306" spans="1:10" ht="20.100000000000001" customHeight="1" x14ac:dyDescent="0.25">
      <c r="A306" s="32">
        <f t="shared" si="19"/>
        <v>0.92000000000000048</v>
      </c>
      <c r="B306" s="40">
        <f t="shared" si="22"/>
        <v>0.11679999999999935</v>
      </c>
      <c r="C306" s="40">
        <f t="shared" si="22"/>
        <v>0.11642623999999946</v>
      </c>
      <c r="D306" s="40">
        <f t="shared" si="22"/>
        <v>0.1138566399999994</v>
      </c>
      <c r="E306" s="40">
        <f t="shared" si="22"/>
        <v>0.10735087999999948</v>
      </c>
      <c r="F306" s="40">
        <f t="shared" si="22"/>
        <v>9.56591999999995E-2</v>
      </c>
      <c r="G306" s="40">
        <f t="shared" si="22"/>
        <v>7.8022399999999603E-2</v>
      </c>
      <c r="H306" s="40">
        <f t="shared" si="22"/>
        <v>5.5363199999999724E-2</v>
      </c>
      <c r="I306" s="40">
        <f t="shared" si="22"/>
        <v>2.8966399999999948E-2</v>
      </c>
      <c r="J306" s="40">
        <f t="shared" si="22"/>
        <v>0</v>
      </c>
    </row>
    <row r="307" spans="1:10" ht="20.100000000000001" customHeight="1" x14ac:dyDescent="0.25">
      <c r="A307" s="32">
        <f t="shared" si="19"/>
        <v>0.9400000000000005</v>
      </c>
      <c r="B307" s="40">
        <f t="shared" si="22"/>
        <v>8.8199999999999168E-2</v>
      </c>
      <c r="C307" s="40">
        <f t="shared" si="22"/>
        <v>8.791775999999929E-2</v>
      </c>
      <c r="D307" s="40">
        <f t="shared" si="22"/>
        <v>8.5977359999999226E-2</v>
      </c>
      <c r="E307" s="40">
        <f t="shared" si="22"/>
        <v>8.1064619999999254E-2</v>
      </c>
      <c r="F307" s="40">
        <f t="shared" si="22"/>
        <v>7.2235799999999406E-2</v>
      </c>
      <c r="G307" s="40">
        <f t="shared" si="22"/>
        <v>5.8917599999999459E-2</v>
      </c>
      <c r="H307" s="40">
        <f t="shared" si="22"/>
        <v>4.18067999999997E-2</v>
      </c>
      <c r="I307" s="40">
        <f t="shared" si="22"/>
        <v>2.1873599999999827E-2</v>
      </c>
      <c r="J307" s="40">
        <f t="shared" si="22"/>
        <v>0</v>
      </c>
    </row>
    <row r="308" spans="1:10" ht="20.100000000000001" customHeight="1" x14ac:dyDescent="0.25">
      <c r="A308" s="32">
        <f t="shared" si="19"/>
        <v>0.96000000000000052</v>
      </c>
      <c r="B308" s="40">
        <f t="shared" si="22"/>
        <v>5.9199999999999253E-2</v>
      </c>
      <c r="C308" s="40">
        <f t="shared" si="22"/>
        <v>5.9010559999999268E-2</v>
      </c>
      <c r="D308" s="40">
        <f t="shared" si="22"/>
        <v>5.7708159999999231E-2</v>
      </c>
      <c r="E308" s="40">
        <f t="shared" si="22"/>
        <v>5.4410719999999357E-2</v>
      </c>
      <c r="F308" s="40">
        <f t="shared" si="22"/>
        <v>4.8484799999999328E-2</v>
      </c>
      <c r="G308" s="40">
        <f t="shared" si="22"/>
        <v>3.9545599999999625E-2</v>
      </c>
      <c r="H308" s="40">
        <f t="shared" si="22"/>
        <v>2.8060799999999664E-2</v>
      </c>
      <c r="I308" s="40">
        <f t="shared" si="22"/>
        <v>1.468159999999985E-2</v>
      </c>
      <c r="J308" s="40">
        <f t="shared" si="22"/>
        <v>0</v>
      </c>
    </row>
    <row r="309" spans="1:10" ht="20.100000000000001" customHeight="1" x14ac:dyDescent="0.25">
      <c r="A309" s="32">
        <f t="shared" si="19"/>
        <v>0.98000000000000054</v>
      </c>
      <c r="B309" s="40">
        <f t="shared" ref="B309:J310" si="23">1+B242</f>
        <v>2.979999999999916E-2</v>
      </c>
      <c r="C309" s="40">
        <f t="shared" si="23"/>
        <v>2.9704639999999172E-2</v>
      </c>
      <c r="D309" s="40">
        <f t="shared" si="23"/>
        <v>2.9049039999999193E-2</v>
      </c>
      <c r="E309" s="40">
        <f t="shared" si="23"/>
        <v>2.7389179999999236E-2</v>
      </c>
      <c r="F309" s="40">
        <f t="shared" si="23"/>
        <v>2.4406199999999378E-2</v>
      </c>
      <c r="G309" s="40">
        <f t="shared" si="23"/>
        <v>1.9906399999999436E-2</v>
      </c>
      <c r="H309" s="40">
        <f t="shared" si="23"/>
        <v>1.4125199999999616E-2</v>
      </c>
      <c r="I309" s="40">
        <f t="shared" si="23"/>
        <v>7.3903999999997971E-3</v>
      </c>
      <c r="J309" s="40">
        <f t="shared" si="23"/>
        <v>0</v>
      </c>
    </row>
    <row r="310" spans="1:10" ht="20.100000000000001" customHeight="1" x14ac:dyDescent="0.25">
      <c r="A310" s="32">
        <f t="shared" si="19"/>
        <v>1.0000000000000004</v>
      </c>
      <c r="B310" s="40">
        <f t="shared" si="23"/>
        <v>0</v>
      </c>
      <c r="C310" s="40">
        <f t="shared" si="23"/>
        <v>0</v>
      </c>
      <c r="D310" s="40">
        <f t="shared" si="23"/>
        <v>0</v>
      </c>
      <c r="E310" s="40">
        <f t="shared" si="23"/>
        <v>0</v>
      </c>
      <c r="F310" s="40">
        <f t="shared" si="23"/>
        <v>0</v>
      </c>
      <c r="G310" s="40">
        <f t="shared" si="23"/>
        <v>0</v>
      </c>
      <c r="H310" s="40">
        <f t="shared" si="23"/>
        <v>0</v>
      </c>
      <c r="I310" s="40">
        <f t="shared" si="23"/>
        <v>0</v>
      </c>
      <c r="J310" s="40">
        <f t="shared" si="23"/>
        <v>0</v>
      </c>
    </row>
    <row r="312" spans="1:10" ht="20.100000000000001" customHeight="1" x14ac:dyDescent="0.25">
      <c r="A312" s="217" t="s">
        <v>395</v>
      </c>
      <c r="B312" s="217"/>
      <c r="C312" s="217"/>
      <c r="D312" s="217"/>
      <c r="E312" s="217"/>
      <c r="F312" s="217"/>
      <c r="G312" s="217"/>
      <c r="H312" s="217"/>
      <c r="I312" s="217"/>
      <c r="J312" s="217"/>
    </row>
    <row r="313" spans="1:10" ht="20.100000000000001" customHeight="1" x14ac:dyDescent="0.25">
      <c r="A313" s="217"/>
      <c r="B313" s="217"/>
      <c r="C313" s="217"/>
      <c r="D313" s="217"/>
      <c r="E313" s="217"/>
      <c r="F313" s="217"/>
      <c r="G313" s="217"/>
      <c r="H313" s="217"/>
      <c r="I313" s="217"/>
      <c r="J313" s="217"/>
    </row>
    <row r="315" spans="1:10" ht="20.100000000000001" customHeight="1" x14ac:dyDescent="0.25">
      <c r="C315" s="39"/>
    </row>
    <row r="322" spans="1:21" ht="20.100000000000001" customHeight="1" x14ac:dyDescent="0.25">
      <c r="A322" s="217" t="s">
        <v>80</v>
      </c>
      <c r="B322" s="217"/>
      <c r="C322" s="217"/>
      <c r="D322" s="217"/>
      <c r="E322" s="217"/>
      <c r="F322" s="217"/>
      <c r="G322" s="217"/>
      <c r="H322" s="217"/>
      <c r="I322" s="217"/>
      <c r="J322" s="217"/>
    </row>
    <row r="323" spans="1:21" ht="20.100000000000001" customHeight="1" x14ac:dyDescent="0.25">
      <c r="A323" s="217" t="s">
        <v>81</v>
      </c>
      <c r="B323" s="217"/>
      <c r="C323" s="217"/>
      <c r="D323" s="217"/>
      <c r="E323" s="217"/>
      <c r="F323" s="217"/>
      <c r="G323" s="217"/>
      <c r="H323" s="217"/>
      <c r="I323" s="217"/>
      <c r="J323" s="217"/>
      <c r="K323" s="21"/>
      <c r="L323" s="21"/>
      <c r="M323" s="21"/>
      <c r="N323" s="21"/>
      <c r="O323" s="21"/>
      <c r="P323" s="21"/>
      <c r="Q323" s="21"/>
      <c r="R323" s="21"/>
    </row>
    <row r="324" spans="1:21" ht="39.950000000000003" customHeight="1" x14ac:dyDescent="0.25">
      <c r="A324" s="217" t="s">
        <v>120</v>
      </c>
      <c r="B324" s="217"/>
      <c r="C324" s="217"/>
      <c r="D324" s="217"/>
      <c r="E324" s="217"/>
      <c r="F324" s="217"/>
      <c r="G324" s="217"/>
      <c r="H324" s="217"/>
      <c r="I324" s="217"/>
      <c r="J324" s="217"/>
    </row>
    <row r="325" spans="1:21" ht="20.100000000000001" customHeight="1" x14ac:dyDescent="0.25">
      <c r="A325" s="217" t="s">
        <v>396</v>
      </c>
      <c r="B325" s="217"/>
      <c r="C325" s="217"/>
      <c r="D325" s="217"/>
      <c r="E325" s="217"/>
      <c r="F325" s="217"/>
      <c r="G325" s="217"/>
      <c r="H325" s="217"/>
      <c r="I325" s="217"/>
      <c r="J325" s="217"/>
    </row>
    <row r="326" spans="1:21" ht="20.100000000000001" customHeight="1" x14ac:dyDescent="0.25">
      <c r="A326" s="217" t="s">
        <v>397</v>
      </c>
      <c r="B326" s="217"/>
      <c r="C326" s="217"/>
      <c r="D326" s="217"/>
      <c r="E326" s="217"/>
      <c r="F326" s="217"/>
      <c r="G326" s="217"/>
      <c r="H326" s="217"/>
      <c r="I326" s="217"/>
      <c r="J326" s="217"/>
    </row>
    <row r="327" spans="1:21" ht="39.950000000000003" customHeight="1" x14ac:dyDescent="0.25">
      <c r="A327" s="217" t="s">
        <v>398</v>
      </c>
      <c r="B327" s="217"/>
      <c r="C327" s="217"/>
      <c r="D327" s="217"/>
      <c r="E327" s="217"/>
      <c r="F327" s="217"/>
      <c r="G327" s="217"/>
      <c r="H327" s="217"/>
      <c r="I327" s="217"/>
      <c r="J327" s="217"/>
    </row>
    <row r="328" spans="1:21" ht="39.950000000000003" customHeight="1" x14ac:dyDescent="0.25">
      <c r="A328" s="217" t="s">
        <v>399</v>
      </c>
      <c r="B328" s="217"/>
      <c r="C328" s="217"/>
      <c r="D328" s="217"/>
      <c r="E328" s="217"/>
      <c r="F328" s="217"/>
      <c r="G328" s="217"/>
      <c r="H328" s="217"/>
      <c r="I328" s="217"/>
      <c r="J328" s="217"/>
    </row>
    <row r="329" spans="1:21" ht="20.100000000000001" customHeight="1" x14ac:dyDescent="0.25">
      <c r="A329" s="217" t="s">
        <v>400</v>
      </c>
      <c r="B329" s="217"/>
      <c r="C329" s="217"/>
      <c r="D329" s="217"/>
      <c r="E329" s="217"/>
      <c r="F329" s="217"/>
      <c r="G329" s="217"/>
      <c r="H329" s="217"/>
      <c r="I329" s="217"/>
      <c r="J329" s="217"/>
    </row>
    <row r="330" spans="1:21" ht="20.100000000000001" customHeight="1" x14ac:dyDescent="0.25">
      <c r="A330" s="217" t="s">
        <v>121</v>
      </c>
      <c r="B330" s="217"/>
      <c r="C330" s="217"/>
      <c r="D330" s="217"/>
      <c r="E330" s="217"/>
      <c r="F330" s="217"/>
      <c r="G330" s="217"/>
      <c r="H330" s="217"/>
      <c r="I330" s="217"/>
      <c r="J330" s="217"/>
    </row>
    <row r="331" spans="1:21" ht="39.950000000000003" customHeight="1" x14ac:dyDescent="0.25">
      <c r="A331" s="217" t="s">
        <v>401</v>
      </c>
      <c r="B331" s="217"/>
      <c r="C331" s="217"/>
      <c r="D331" s="217"/>
      <c r="E331" s="217"/>
      <c r="F331" s="217"/>
      <c r="G331" s="217"/>
      <c r="H331" s="217"/>
      <c r="I331" s="217"/>
      <c r="J331" s="217"/>
    </row>
    <row r="332" spans="1:21" ht="39.950000000000003" customHeight="1" x14ac:dyDescent="0.25">
      <c r="A332" s="217" t="s">
        <v>402</v>
      </c>
      <c r="B332" s="217"/>
      <c r="C332" s="217"/>
      <c r="D332" s="217"/>
      <c r="E332" s="217"/>
      <c r="F332" s="217"/>
      <c r="G332" s="217"/>
      <c r="H332" s="217"/>
      <c r="I332" s="217"/>
      <c r="J332" s="217"/>
    </row>
    <row r="333" spans="1:21" ht="39.950000000000003" customHeight="1" x14ac:dyDescent="0.25">
      <c r="A333" s="217" t="s">
        <v>123</v>
      </c>
      <c r="B333" s="217"/>
      <c r="C333" s="217"/>
      <c r="D333" s="217"/>
      <c r="E333" s="217"/>
      <c r="F333" s="217"/>
      <c r="G333" s="217"/>
      <c r="H333" s="217"/>
      <c r="I333" s="217"/>
      <c r="J333" s="217"/>
    </row>
    <row r="334" spans="1:21" ht="39.950000000000003" customHeight="1" x14ac:dyDescent="0.25">
      <c r="A334" s="217" t="s">
        <v>403</v>
      </c>
      <c r="B334" s="217"/>
      <c r="C334" s="217"/>
      <c r="D334" s="217"/>
      <c r="E334" s="217"/>
      <c r="F334" s="217"/>
      <c r="G334" s="217"/>
      <c r="H334" s="217"/>
      <c r="I334" s="217"/>
      <c r="J334" s="217"/>
      <c r="L334" s="24"/>
      <c r="M334" s="24"/>
      <c r="N334" s="24"/>
      <c r="O334" s="24"/>
      <c r="P334" s="24"/>
      <c r="Q334" s="24"/>
      <c r="R334" s="24"/>
      <c r="S334" s="24"/>
      <c r="T334" s="24"/>
      <c r="U334" s="24"/>
    </row>
    <row r="335" spans="1:21" ht="39.950000000000003" customHeight="1" x14ac:dyDescent="0.25">
      <c r="A335" s="217" t="s">
        <v>122</v>
      </c>
      <c r="B335" s="217"/>
      <c r="C335" s="217"/>
      <c r="D335" s="217"/>
      <c r="E335" s="217"/>
      <c r="F335" s="217"/>
      <c r="G335" s="217"/>
      <c r="H335" s="217"/>
      <c r="I335" s="217"/>
      <c r="J335" s="217"/>
      <c r="L335" s="24"/>
      <c r="M335" s="24"/>
      <c r="N335" s="24"/>
      <c r="O335" s="24"/>
      <c r="P335" s="24"/>
      <c r="Q335" s="24"/>
      <c r="R335" s="24"/>
      <c r="S335" s="24"/>
      <c r="T335" s="24"/>
      <c r="U335" s="24"/>
    </row>
    <row r="336" spans="1:21" ht="39.950000000000003" customHeight="1" x14ac:dyDescent="0.25">
      <c r="A336" s="217" t="s">
        <v>404</v>
      </c>
      <c r="B336" s="217"/>
      <c r="C336" s="217"/>
      <c r="D336" s="217"/>
      <c r="E336" s="217"/>
      <c r="F336" s="217"/>
      <c r="G336" s="217"/>
      <c r="H336" s="217"/>
      <c r="I336" s="217"/>
      <c r="J336" s="217"/>
      <c r="L336" s="24"/>
      <c r="M336" s="24"/>
      <c r="N336" s="24"/>
      <c r="O336" s="24"/>
      <c r="P336" s="24"/>
      <c r="Q336" s="24"/>
      <c r="R336" s="24"/>
      <c r="S336" s="24"/>
      <c r="T336" s="24"/>
      <c r="U336" s="24"/>
    </row>
    <row r="337" spans="1:10" ht="20.100000000000001" customHeight="1" x14ac:dyDescent="0.25">
      <c r="A337" s="217" t="s">
        <v>405</v>
      </c>
      <c r="B337" s="217"/>
      <c r="C337" s="217"/>
      <c r="D337" s="217"/>
      <c r="E337" s="217"/>
      <c r="F337" s="217"/>
      <c r="G337" s="217"/>
      <c r="H337" s="217"/>
      <c r="I337" s="217"/>
      <c r="J337" s="217"/>
    </row>
    <row r="338" spans="1:10" ht="20.100000000000001" customHeight="1" x14ac:dyDescent="0.25">
      <c r="A338" s="217" t="s">
        <v>406</v>
      </c>
      <c r="B338" s="217"/>
      <c r="C338" s="217"/>
      <c r="D338" s="217"/>
      <c r="E338" s="217"/>
      <c r="F338" s="217"/>
      <c r="G338" s="217"/>
      <c r="H338" s="217"/>
      <c r="I338" s="217"/>
      <c r="J338" s="217"/>
    </row>
    <row r="339" spans="1:10" ht="39.950000000000003" customHeight="1" x14ac:dyDescent="0.25">
      <c r="A339" s="217" t="s">
        <v>407</v>
      </c>
      <c r="B339" s="217"/>
      <c r="C339" s="217"/>
      <c r="D339" s="217"/>
      <c r="E339" s="217"/>
      <c r="F339" s="217"/>
      <c r="G339" s="217"/>
      <c r="H339" s="217"/>
      <c r="I339" s="217"/>
      <c r="J339" s="217"/>
    </row>
    <row r="340" spans="1:10" ht="20.100000000000001" customHeight="1" x14ac:dyDescent="0.25">
      <c r="A340" s="217" t="s">
        <v>408</v>
      </c>
      <c r="B340" s="217"/>
      <c r="C340" s="217"/>
      <c r="D340" s="217"/>
      <c r="E340" s="217"/>
      <c r="F340" s="217"/>
      <c r="G340" s="217"/>
      <c r="H340" s="217"/>
      <c r="I340" s="217"/>
      <c r="J340" s="217"/>
    </row>
    <row r="341" spans="1:10" ht="20.100000000000001" customHeight="1" x14ac:dyDescent="0.25">
      <c r="A341" s="217"/>
      <c r="B341" s="217"/>
      <c r="C341" s="217"/>
      <c r="D341" s="217"/>
      <c r="E341" s="217"/>
      <c r="F341" s="217"/>
      <c r="G341" s="217"/>
      <c r="H341" s="217"/>
      <c r="I341" s="217"/>
      <c r="J341" s="217"/>
    </row>
  </sheetData>
  <sheetProtection algorithmName="SHA-512" hashValue="8ZaFAv1w5WWP82BZahKFdd0fy7nF/yHn2U2S3Bbu+TTyLRxS50fQeuJCjFykuux5GebsFCLspxS4lFly4y9zLg==" saltValue="rpjhCeoIc4NzRkA6FzxDkg==" spinCount="100000" sheet="1" objects="1" scenarios="1"/>
  <mergeCells count="239">
    <mergeCell ref="A1:J1"/>
    <mergeCell ref="A3:A5"/>
    <mergeCell ref="B3:C5"/>
    <mergeCell ref="D3:F5"/>
    <mergeCell ref="G3:H4"/>
    <mergeCell ref="I3:J5"/>
    <mergeCell ref="G5:H5"/>
    <mergeCell ref="G8:H8"/>
    <mergeCell ref="I8:J8"/>
    <mergeCell ref="D9:F9"/>
    <mergeCell ref="G9:H9"/>
    <mergeCell ref="I9:J9"/>
    <mergeCell ref="D10:F10"/>
    <mergeCell ref="G10:H10"/>
    <mergeCell ref="I10:J10"/>
    <mergeCell ref="A6:A21"/>
    <mergeCell ref="B6:C7"/>
    <mergeCell ref="D6:F6"/>
    <mergeCell ref="G6:H6"/>
    <mergeCell ref="I6:J6"/>
    <mergeCell ref="D7:F7"/>
    <mergeCell ref="G7:H7"/>
    <mergeCell ref="I7:J7"/>
    <mergeCell ref="B8:C15"/>
    <mergeCell ref="D8:F8"/>
    <mergeCell ref="D13:F13"/>
    <mergeCell ref="G13:H13"/>
    <mergeCell ref="I13:J13"/>
    <mergeCell ref="D14:F14"/>
    <mergeCell ref="G14:H14"/>
    <mergeCell ref="I14:J14"/>
    <mergeCell ref="D11:F11"/>
    <mergeCell ref="G11:H11"/>
    <mergeCell ref="I11:J11"/>
    <mergeCell ref="D12:F12"/>
    <mergeCell ref="G12:H12"/>
    <mergeCell ref="I12:J12"/>
    <mergeCell ref="D15:F15"/>
    <mergeCell ref="G15:H15"/>
    <mergeCell ref="I15:J15"/>
    <mergeCell ref="B16:C21"/>
    <mergeCell ref="D16:F16"/>
    <mergeCell ref="G16:H16"/>
    <mergeCell ref="I16:J16"/>
    <mergeCell ref="D17:F17"/>
    <mergeCell ref="G17:H17"/>
    <mergeCell ref="I17:J17"/>
    <mergeCell ref="D20:F20"/>
    <mergeCell ref="G20:H20"/>
    <mergeCell ref="I20:J20"/>
    <mergeCell ref="D21:F21"/>
    <mergeCell ref="G21:H21"/>
    <mergeCell ref="I21:J21"/>
    <mergeCell ref="D18:F18"/>
    <mergeCell ref="G18:H18"/>
    <mergeCell ref="I18:J18"/>
    <mergeCell ref="D19:F19"/>
    <mergeCell ref="G19:H19"/>
    <mergeCell ref="I19:J19"/>
    <mergeCell ref="A22:A34"/>
    <mergeCell ref="B22:C27"/>
    <mergeCell ref="D22:F22"/>
    <mergeCell ref="G22:H22"/>
    <mergeCell ref="I22:J22"/>
    <mergeCell ref="D23:F23"/>
    <mergeCell ref="G23:H23"/>
    <mergeCell ref="I23:J23"/>
    <mergeCell ref="D24:F24"/>
    <mergeCell ref="G24:H24"/>
    <mergeCell ref="B28:C31"/>
    <mergeCell ref="D28:F28"/>
    <mergeCell ref="G28:H28"/>
    <mergeCell ref="I28:J28"/>
    <mergeCell ref="D29:F29"/>
    <mergeCell ref="G29:H29"/>
    <mergeCell ref="I29:J29"/>
    <mergeCell ref="I24:J24"/>
    <mergeCell ref="D25:F25"/>
    <mergeCell ref="G25:H25"/>
    <mergeCell ref="I25:J25"/>
    <mergeCell ref="D26:F26"/>
    <mergeCell ref="G26:H26"/>
    <mergeCell ref="I26:J26"/>
    <mergeCell ref="D30:F30"/>
    <mergeCell ref="G30:H30"/>
    <mergeCell ref="I30:J30"/>
    <mergeCell ref="D31:F31"/>
    <mergeCell ref="G31:H31"/>
    <mergeCell ref="I31:J31"/>
    <mergeCell ref="D27:F27"/>
    <mergeCell ref="G27:H27"/>
    <mergeCell ref="I27:J27"/>
    <mergeCell ref="B32:C34"/>
    <mergeCell ref="D32:F32"/>
    <mergeCell ref="G32:H32"/>
    <mergeCell ref="I32:J32"/>
    <mergeCell ref="D33:F33"/>
    <mergeCell ref="G33:H33"/>
    <mergeCell ref="I33:J33"/>
    <mergeCell ref="D34:F34"/>
    <mergeCell ref="G34:H34"/>
    <mergeCell ref="I34:J34"/>
    <mergeCell ref="A47:A49"/>
    <mergeCell ref="B47:D49"/>
    <mergeCell ref="E47:E49"/>
    <mergeCell ref="F47:J49"/>
    <mergeCell ref="A50:A52"/>
    <mergeCell ref="B50:D52"/>
    <mergeCell ref="E50:E52"/>
    <mergeCell ref="F50:J52"/>
    <mergeCell ref="A36:J36"/>
    <mergeCell ref="A37:J37"/>
    <mergeCell ref="A38:J39"/>
    <mergeCell ref="A42:J43"/>
    <mergeCell ref="A45:A46"/>
    <mergeCell ref="B45:D46"/>
    <mergeCell ref="E45:E46"/>
    <mergeCell ref="F45:J46"/>
    <mergeCell ref="A59:A62"/>
    <mergeCell ref="B59:D62"/>
    <mergeCell ref="E59:E62"/>
    <mergeCell ref="F59:J62"/>
    <mergeCell ref="A63:A68"/>
    <mergeCell ref="B63:D68"/>
    <mergeCell ref="E63:E68"/>
    <mergeCell ref="F63:J68"/>
    <mergeCell ref="A53:A55"/>
    <mergeCell ref="B53:D55"/>
    <mergeCell ref="E53:E55"/>
    <mergeCell ref="F53:J55"/>
    <mergeCell ref="A56:A58"/>
    <mergeCell ref="B56:D58"/>
    <mergeCell ref="E56:E58"/>
    <mergeCell ref="F56:J58"/>
    <mergeCell ref="B79:D79"/>
    <mergeCell ref="F79:J79"/>
    <mergeCell ref="A81:J81"/>
    <mergeCell ref="A82:J82"/>
    <mergeCell ref="A83:J83"/>
    <mergeCell ref="A84:J84"/>
    <mergeCell ref="A69:A74"/>
    <mergeCell ref="B69:D74"/>
    <mergeCell ref="E69:E74"/>
    <mergeCell ref="F69:J74"/>
    <mergeCell ref="A75:A78"/>
    <mergeCell ref="B75:D78"/>
    <mergeCell ref="E75:E78"/>
    <mergeCell ref="F75:J78"/>
    <mergeCell ref="I106:J106"/>
    <mergeCell ref="A107:B107"/>
    <mergeCell ref="C107:D107"/>
    <mergeCell ref="E107:F107"/>
    <mergeCell ref="G107:H107"/>
    <mergeCell ref="I107:J107"/>
    <mergeCell ref="A86:J86"/>
    <mergeCell ref="A87:J89"/>
    <mergeCell ref="A92:J92"/>
    <mergeCell ref="A94:J99"/>
    <mergeCell ref="A101:J103"/>
    <mergeCell ref="A104:B106"/>
    <mergeCell ref="C104:D106"/>
    <mergeCell ref="E104:F106"/>
    <mergeCell ref="G104:J105"/>
    <mergeCell ref="G106:H106"/>
    <mergeCell ref="A108:B108"/>
    <mergeCell ref="C108:D108"/>
    <mergeCell ref="E108:F108"/>
    <mergeCell ref="G108:H108"/>
    <mergeCell ref="I108:J108"/>
    <mergeCell ref="A109:B109"/>
    <mergeCell ref="C109:D109"/>
    <mergeCell ref="E109:F109"/>
    <mergeCell ref="G109:H109"/>
    <mergeCell ref="I109:J109"/>
    <mergeCell ref="A110:B110"/>
    <mergeCell ref="C110:D110"/>
    <mergeCell ref="E110:F110"/>
    <mergeCell ref="G110:H110"/>
    <mergeCell ref="I110:J110"/>
    <mergeCell ref="A111:B111"/>
    <mergeCell ref="C111:D111"/>
    <mergeCell ref="E111:F111"/>
    <mergeCell ref="G111:H111"/>
    <mergeCell ref="I111:J111"/>
    <mergeCell ref="A112:B112"/>
    <mergeCell ref="C112:D112"/>
    <mergeCell ref="E112:F112"/>
    <mergeCell ref="G112:H112"/>
    <mergeCell ref="I112:J112"/>
    <mergeCell ref="A113:B113"/>
    <mergeCell ref="C113:D113"/>
    <mergeCell ref="E113:F113"/>
    <mergeCell ref="G113:H113"/>
    <mergeCell ref="I113:J113"/>
    <mergeCell ref="A114:B114"/>
    <mergeCell ref="C114:D114"/>
    <mergeCell ref="E114:F114"/>
    <mergeCell ref="G114:H114"/>
    <mergeCell ref="I114:J114"/>
    <mergeCell ref="A115:B115"/>
    <mergeCell ref="C115:D115"/>
    <mergeCell ref="E115:F115"/>
    <mergeCell ref="G115:H115"/>
    <mergeCell ref="I115:J115"/>
    <mergeCell ref="A118:A121"/>
    <mergeCell ref="B118:J118"/>
    <mergeCell ref="B119:J119"/>
    <mergeCell ref="B120:J120"/>
    <mergeCell ref="A174:J174"/>
    <mergeCell ref="A189:A192"/>
    <mergeCell ref="B189:J189"/>
    <mergeCell ref="B190:J190"/>
    <mergeCell ref="B191:J191"/>
    <mergeCell ref="A322:J322"/>
    <mergeCell ref="A323:J323"/>
    <mergeCell ref="A324:J324"/>
    <mergeCell ref="A325:J325"/>
    <mergeCell ref="A326:J326"/>
    <mergeCell ref="A327:J327"/>
    <mergeCell ref="A245:J247"/>
    <mergeCell ref="A256:A259"/>
    <mergeCell ref="B256:J256"/>
    <mergeCell ref="B257:J257"/>
    <mergeCell ref="B258:J258"/>
    <mergeCell ref="A312:J313"/>
    <mergeCell ref="A340:J340"/>
    <mergeCell ref="A341:J341"/>
    <mergeCell ref="A334:J334"/>
    <mergeCell ref="A335:J335"/>
    <mergeCell ref="A336:J336"/>
    <mergeCell ref="A337:J337"/>
    <mergeCell ref="A338:J338"/>
    <mergeCell ref="A339:J339"/>
    <mergeCell ref="A328:J328"/>
    <mergeCell ref="A329:J329"/>
    <mergeCell ref="A330:J330"/>
    <mergeCell ref="A331:J331"/>
    <mergeCell ref="A332:J332"/>
    <mergeCell ref="A333:J333"/>
  </mergeCells>
  <pageMargins left="0.511811024" right="0.511811024" top="0.78740157499999996" bottom="0.78740157499999996" header="0.31496062000000002" footer="0.31496062000000002"/>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C9B16-6CE1-41E3-8928-3191FECE01C8}">
  <dimension ref="A1:AQ144"/>
  <sheetViews>
    <sheetView workbookViewId="0">
      <selection sqref="A1:AM1"/>
    </sheetView>
  </sheetViews>
  <sheetFormatPr defaultColWidth="3.625" defaultRowHeight="20.100000000000001" customHeight="1" x14ac:dyDescent="0.25"/>
  <cols>
    <col min="1" max="41" width="3.625" style="39"/>
    <col min="42" max="43" width="3.625" style="41"/>
    <col min="44" max="16384" width="3.625" style="71"/>
  </cols>
  <sheetData>
    <row r="1" spans="1:39" s="41" customFormat="1" ht="20.100000000000001" customHeight="1" x14ac:dyDescent="0.25">
      <c r="A1" s="274" t="s">
        <v>242</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row>
    <row r="2" spans="1:39" s="41" customFormat="1" ht="20.100000000000001" customHeight="1" x14ac:dyDescent="0.25">
      <c r="A2" s="274" t="s">
        <v>243</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row>
    <row r="3" spans="1:39" s="41" customFormat="1" ht="20.100000000000001" customHeight="1" x14ac:dyDescent="0.2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row>
    <row r="4" spans="1:39" s="41" customFormat="1" ht="20.100000000000001" customHeight="1" x14ac:dyDescent="0.25">
      <c r="A4" s="275" t="s">
        <v>124</v>
      </c>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row>
    <row r="5" spans="1:39" s="41" customFormat="1" ht="20.100000000000001" customHeight="1" thickBot="1" x14ac:dyDescent="0.3">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39" s="41" customFormat="1" ht="20.100000000000001" customHeight="1" x14ac:dyDescent="0.25">
      <c r="A6" s="251" t="s">
        <v>125</v>
      </c>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3"/>
    </row>
    <row r="7" spans="1:39" s="41" customFormat="1" ht="20.100000000000001" customHeight="1" x14ac:dyDescent="0.25">
      <c r="A7" s="44"/>
      <c r="B7" s="39"/>
      <c r="C7" s="39"/>
      <c r="D7" s="39"/>
      <c r="E7" s="39"/>
      <c r="F7" s="39"/>
      <c r="G7" s="39"/>
      <c r="H7" s="39"/>
      <c r="I7" s="39"/>
      <c r="J7" s="39"/>
      <c r="K7" s="45"/>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46"/>
    </row>
    <row r="8" spans="1:39" s="41" customFormat="1" ht="20.100000000000001" customHeight="1" x14ac:dyDescent="0.25">
      <c r="A8" s="44"/>
      <c r="B8" s="255" t="s">
        <v>249</v>
      </c>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46"/>
    </row>
    <row r="9" spans="1:39" s="41" customFormat="1" ht="20.100000000000001" customHeight="1" x14ac:dyDescent="0.25">
      <c r="A9" s="44"/>
      <c r="B9" s="267" t="s">
        <v>126</v>
      </c>
      <c r="C9" s="268"/>
      <c r="D9" s="268"/>
      <c r="E9" s="268"/>
      <c r="F9" s="268"/>
      <c r="G9" s="268"/>
      <c r="H9" s="268"/>
      <c r="I9" s="268"/>
      <c r="J9" s="268"/>
      <c r="K9" s="269"/>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46"/>
    </row>
    <row r="10" spans="1:39" s="41" customFormat="1" ht="20.100000000000001" customHeight="1" x14ac:dyDescent="0.25">
      <c r="A10" s="44"/>
      <c r="B10" s="267" t="s">
        <v>127</v>
      </c>
      <c r="C10" s="268"/>
      <c r="D10" s="268"/>
      <c r="E10" s="268"/>
      <c r="F10" s="268"/>
      <c r="G10" s="268"/>
      <c r="H10" s="268"/>
      <c r="I10" s="268"/>
      <c r="J10" s="268"/>
      <c r="K10" s="269"/>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46"/>
    </row>
    <row r="11" spans="1:39" s="41" customFormat="1" ht="20.100000000000001" customHeight="1" x14ac:dyDescent="0.25">
      <c r="A11" s="44"/>
      <c r="B11" s="267" t="s">
        <v>128</v>
      </c>
      <c r="C11" s="268"/>
      <c r="D11" s="268"/>
      <c r="E11" s="268"/>
      <c r="F11" s="268"/>
      <c r="G11" s="268"/>
      <c r="H11" s="268"/>
      <c r="I11" s="268"/>
      <c r="J11" s="268"/>
      <c r="K11" s="269"/>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46"/>
    </row>
    <row r="12" spans="1:39" s="41" customFormat="1" ht="20.100000000000001" customHeight="1" x14ac:dyDescent="0.25">
      <c r="A12" s="44"/>
      <c r="B12" s="267" t="s">
        <v>250</v>
      </c>
      <c r="C12" s="268"/>
      <c r="D12" s="268"/>
      <c r="E12" s="268"/>
      <c r="F12" s="268"/>
      <c r="G12" s="268"/>
      <c r="H12" s="268"/>
      <c r="I12" s="268"/>
      <c r="J12" s="268"/>
      <c r="K12" s="269"/>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46"/>
    </row>
    <row r="13" spans="1:39" s="41" customFormat="1" ht="20.100000000000001" customHeight="1" x14ac:dyDescent="0.25">
      <c r="A13" s="44"/>
      <c r="B13" s="267" t="s">
        <v>251</v>
      </c>
      <c r="C13" s="268"/>
      <c r="D13" s="268"/>
      <c r="E13" s="268"/>
      <c r="F13" s="268"/>
      <c r="G13" s="268"/>
      <c r="H13" s="268"/>
      <c r="I13" s="268"/>
      <c r="J13" s="268"/>
      <c r="K13" s="269"/>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46"/>
    </row>
    <row r="14" spans="1:39" s="41" customFormat="1" ht="20.100000000000001" customHeight="1" x14ac:dyDescent="0.25">
      <c r="A14" s="44"/>
      <c r="B14" s="271" t="s">
        <v>129</v>
      </c>
      <c r="C14" s="272"/>
      <c r="D14" s="272"/>
      <c r="E14" s="272"/>
      <c r="F14" s="272"/>
      <c r="G14" s="272"/>
      <c r="H14" s="272"/>
      <c r="I14" s="272"/>
      <c r="J14" s="272"/>
      <c r="K14" s="273"/>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46"/>
    </row>
    <row r="15" spans="1:39" s="41" customFormat="1" ht="20.100000000000001" customHeight="1" x14ac:dyDescent="0.25">
      <c r="A15" s="44"/>
      <c r="B15" s="271" t="s">
        <v>130</v>
      </c>
      <c r="C15" s="272"/>
      <c r="D15" s="272"/>
      <c r="E15" s="272"/>
      <c r="F15" s="272"/>
      <c r="G15" s="272"/>
      <c r="H15" s="272"/>
      <c r="I15" s="272"/>
      <c r="J15" s="272"/>
      <c r="K15" s="273"/>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46"/>
    </row>
    <row r="16" spans="1:39" s="41" customFormat="1" ht="20.100000000000001" customHeight="1" x14ac:dyDescent="0.25">
      <c r="A16" s="44"/>
      <c r="B16" s="271" t="s">
        <v>252</v>
      </c>
      <c r="C16" s="272"/>
      <c r="D16" s="272"/>
      <c r="E16" s="272"/>
      <c r="F16" s="272"/>
      <c r="G16" s="272"/>
      <c r="H16" s="272"/>
      <c r="I16" s="272"/>
      <c r="J16" s="272"/>
      <c r="K16" s="273"/>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46"/>
    </row>
    <row r="17" spans="1:39" s="41" customFormat="1" ht="20.100000000000001" customHeight="1" thickBot="1" x14ac:dyDescent="0.3">
      <c r="A17" s="48"/>
      <c r="B17" s="43"/>
      <c r="C17" s="43"/>
      <c r="D17" s="43"/>
      <c r="E17" s="43"/>
      <c r="F17" s="43"/>
      <c r="G17" s="43"/>
      <c r="H17" s="43"/>
      <c r="I17" s="43"/>
      <c r="J17" s="43"/>
      <c r="K17" s="49"/>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50"/>
    </row>
    <row r="18" spans="1:39" s="41" customFormat="1" ht="20.100000000000001" customHeight="1" thickBot="1" x14ac:dyDescent="0.3">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row>
    <row r="19" spans="1:39" s="41" customFormat="1" ht="20.100000000000001" customHeight="1" x14ac:dyDescent="0.25">
      <c r="A19" s="251" t="s">
        <v>247</v>
      </c>
      <c r="B19" s="252"/>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3"/>
    </row>
    <row r="20" spans="1:39" s="41" customFormat="1" ht="20.100000000000001" customHeight="1" x14ac:dyDescent="0.25">
      <c r="A20" s="44"/>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46"/>
    </row>
    <row r="21" spans="1:39" s="41" customFormat="1" ht="20.100000000000001" customHeight="1" x14ac:dyDescent="0.25">
      <c r="A21" s="44"/>
      <c r="B21" s="266" t="s">
        <v>131</v>
      </c>
      <c r="C21" s="266"/>
      <c r="D21" s="266"/>
      <c r="E21" s="266"/>
      <c r="F21" s="266"/>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46"/>
    </row>
    <row r="22" spans="1:39" s="41" customFormat="1" ht="20.100000000000001" customHeight="1" x14ac:dyDescent="0.25">
      <c r="A22" s="44"/>
      <c r="B22" s="266" t="s">
        <v>132</v>
      </c>
      <c r="C22" s="266"/>
      <c r="D22" s="266"/>
      <c r="E22" s="266"/>
      <c r="F22" s="266"/>
      <c r="G22" s="266"/>
      <c r="H22" s="266"/>
      <c r="I22" s="266"/>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6"/>
      <c r="AL22" s="266"/>
      <c r="AM22" s="46"/>
    </row>
    <row r="23" spans="1:39" s="41" customFormat="1" ht="20.100000000000001" customHeight="1" x14ac:dyDescent="0.25">
      <c r="A23" s="44"/>
      <c r="B23" s="266" t="s">
        <v>133</v>
      </c>
      <c r="C23" s="266"/>
      <c r="D23" s="266"/>
      <c r="E23" s="266"/>
      <c r="F23" s="266"/>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46"/>
    </row>
    <row r="24" spans="1:39" s="41" customFormat="1" ht="20.100000000000001" customHeight="1" thickBot="1" x14ac:dyDescent="0.3">
      <c r="A24" s="48"/>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50"/>
    </row>
    <row r="25" spans="1:39" s="41" customFormat="1" ht="20.100000000000001" customHeight="1" x14ac:dyDescent="0.25">
      <c r="A25" s="261" t="s">
        <v>134</v>
      </c>
      <c r="B25" s="262"/>
      <c r="C25" s="262"/>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3"/>
    </row>
    <row r="26" spans="1:39" s="41" customFormat="1" ht="20.100000000000001" customHeight="1" x14ac:dyDescent="0.25">
      <c r="A26" s="44"/>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46"/>
    </row>
    <row r="27" spans="1:39" s="41" customFormat="1" ht="20.100000000000001" customHeight="1" x14ac:dyDescent="0.25">
      <c r="A27" s="44"/>
      <c r="B27" s="264" t="s">
        <v>135</v>
      </c>
      <c r="C27" s="264"/>
      <c r="D27" s="264"/>
      <c r="E27" s="264"/>
      <c r="F27" s="264"/>
      <c r="G27" s="264"/>
      <c r="H27" s="264"/>
      <c r="I27" s="264"/>
      <c r="J27" s="264"/>
      <c r="K27" s="264"/>
      <c r="L27" s="264"/>
      <c r="M27" s="264"/>
      <c r="N27" s="264"/>
      <c r="O27" s="39"/>
      <c r="P27" s="39"/>
      <c r="Q27" s="39"/>
      <c r="R27" s="39"/>
      <c r="S27" s="39"/>
      <c r="T27" s="39"/>
      <c r="U27" s="39"/>
      <c r="V27" s="265" t="s">
        <v>136</v>
      </c>
      <c r="W27" s="265"/>
      <c r="X27" s="265"/>
      <c r="Y27" s="265"/>
      <c r="Z27" s="265"/>
      <c r="AA27" s="265"/>
      <c r="AB27" s="265"/>
      <c r="AC27" s="265"/>
      <c r="AD27" s="265"/>
      <c r="AE27" s="265"/>
      <c r="AF27" s="265"/>
      <c r="AG27" s="265"/>
      <c r="AH27" s="265"/>
      <c r="AI27" s="265"/>
      <c r="AJ27" s="265"/>
      <c r="AK27" s="265"/>
      <c r="AL27" s="265"/>
      <c r="AM27" s="53"/>
    </row>
    <row r="28" spans="1:39" s="41" customFormat="1" ht="20.100000000000001" customHeight="1" x14ac:dyDescent="0.25">
      <c r="A28" s="44"/>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46"/>
    </row>
    <row r="29" spans="1:39" s="41" customFormat="1" ht="20.100000000000001" customHeight="1" x14ac:dyDescent="0.25">
      <c r="A29" s="44"/>
      <c r="B29" s="47"/>
      <c r="C29" s="54" t="s">
        <v>137</v>
      </c>
      <c r="D29" s="39"/>
      <c r="E29" s="39"/>
      <c r="J29" s="47"/>
      <c r="K29" s="54" t="s">
        <v>138</v>
      </c>
      <c r="L29" s="39"/>
      <c r="M29" s="39"/>
      <c r="N29" s="39"/>
      <c r="O29" s="39"/>
      <c r="P29" s="39"/>
      <c r="Q29" s="39"/>
      <c r="R29" s="39"/>
      <c r="S29" s="39"/>
      <c r="T29" s="39"/>
      <c r="U29" s="39"/>
      <c r="V29" s="47"/>
      <c r="W29" s="55" t="s">
        <v>139</v>
      </c>
      <c r="X29" s="54"/>
      <c r="Y29" s="54"/>
      <c r="Z29" s="54"/>
      <c r="AA29" s="54"/>
      <c r="AB29" s="54"/>
      <c r="AC29" s="54"/>
      <c r="AD29" s="54"/>
      <c r="AE29" s="47"/>
      <c r="AF29" s="55" t="s">
        <v>64</v>
      </c>
      <c r="AH29" s="39"/>
      <c r="AI29" s="39"/>
      <c r="AJ29" s="54"/>
      <c r="AK29" s="54"/>
      <c r="AL29" s="54"/>
      <c r="AM29" s="56"/>
    </row>
    <row r="30" spans="1:39" s="41" customFormat="1" ht="20.100000000000001" customHeight="1" x14ac:dyDescent="0.25">
      <c r="A30" s="39"/>
      <c r="B30" s="39"/>
      <c r="C30" s="39"/>
      <c r="D30" s="39"/>
      <c r="E30" s="39"/>
      <c r="J30" s="39"/>
      <c r="K30" s="54"/>
      <c r="L30" s="39"/>
      <c r="M30" s="39"/>
      <c r="N30" s="39"/>
      <c r="O30" s="39"/>
      <c r="P30" s="39"/>
      <c r="Q30" s="39"/>
      <c r="R30" s="39"/>
      <c r="S30" s="39"/>
      <c r="T30" s="39"/>
      <c r="U30" s="39"/>
      <c r="V30" s="39"/>
      <c r="W30" s="39"/>
      <c r="X30" s="54"/>
      <c r="Y30" s="54"/>
      <c r="Z30" s="54"/>
      <c r="AA30" s="54"/>
      <c r="AB30" s="54"/>
      <c r="AC30" s="54"/>
      <c r="AD30" s="54"/>
      <c r="AE30" s="39"/>
      <c r="AF30" s="39"/>
      <c r="AH30" s="39"/>
      <c r="AI30" s="39"/>
      <c r="AJ30" s="54"/>
      <c r="AK30" s="54"/>
      <c r="AL30" s="54"/>
      <c r="AM30" s="56"/>
    </row>
    <row r="31" spans="1:39" s="41" customFormat="1" ht="20.100000000000001" customHeight="1" x14ac:dyDescent="0.25">
      <c r="A31" s="44"/>
      <c r="B31" s="47"/>
      <c r="C31" s="54" t="s">
        <v>140</v>
      </c>
      <c r="D31" s="39"/>
      <c r="E31" s="39"/>
      <c r="J31" s="47"/>
      <c r="K31" s="54" t="s">
        <v>141</v>
      </c>
      <c r="L31" s="39"/>
      <c r="M31" s="39"/>
      <c r="N31" s="39"/>
      <c r="O31" s="39"/>
      <c r="P31" s="39"/>
      <c r="Q31" s="39"/>
      <c r="R31" s="39"/>
      <c r="S31" s="39"/>
      <c r="T31" s="39"/>
      <c r="U31" s="39"/>
      <c r="V31" s="47"/>
      <c r="W31" s="55" t="s">
        <v>142</v>
      </c>
      <c r="X31" s="54"/>
      <c r="Y31" s="54"/>
      <c r="Z31" s="54"/>
      <c r="AA31" s="54"/>
      <c r="AB31" s="54"/>
      <c r="AC31" s="54"/>
      <c r="AD31" s="54"/>
      <c r="AE31" s="47"/>
      <c r="AF31" s="55" t="s">
        <v>143</v>
      </c>
      <c r="AG31" s="54"/>
      <c r="AH31" s="54"/>
      <c r="AI31" s="54"/>
      <c r="AJ31" s="54"/>
      <c r="AK31" s="54"/>
      <c r="AL31" s="54"/>
      <c r="AM31" s="46"/>
    </row>
    <row r="32" spans="1:39" s="41" customFormat="1" ht="20.100000000000001" customHeight="1" x14ac:dyDescent="0.25">
      <c r="A32" s="44"/>
      <c r="C32" s="54"/>
      <c r="D32" s="39"/>
      <c r="E32" s="39"/>
      <c r="K32" s="54"/>
      <c r="L32" s="39"/>
      <c r="M32" s="39"/>
      <c r="N32" s="39"/>
      <c r="O32" s="39"/>
      <c r="P32" s="39"/>
      <c r="Q32" s="39"/>
      <c r="R32" s="39"/>
      <c r="S32" s="39"/>
      <c r="T32" s="39"/>
      <c r="U32" s="39"/>
      <c r="V32" s="39"/>
      <c r="W32" s="39"/>
      <c r="X32" s="54"/>
      <c r="Y32" s="54"/>
      <c r="Z32" s="54"/>
      <c r="AA32" s="54"/>
      <c r="AB32" s="54"/>
      <c r="AC32" s="54"/>
      <c r="AD32" s="54"/>
      <c r="AF32" s="54"/>
      <c r="AG32" s="54"/>
      <c r="AH32" s="54"/>
      <c r="AI32" s="54"/>
      <c r="AJ32" s="54"/>
      <c r="AK32" s="54"/>
      <c r="AL32" s="54"/>
      <c r="AM32" s="46"/>
    </row>
    <row r="33" spans="1:39" s="41" customFormat="1" ht="20.100000000000001" customHeight="1" x14ac:dyDescent="0.25">
      <c r="A33" s="44"/>
      <c r="B33" s="39"/>
      <c r="C33" s="39"/>
      <c r="D33" s="39"/>
      <c r="E33" s="39"/>
      <c r="F33" s="39"/>
      <c r="G33" s="39"/>
      <c r="H33" s="39"/>
      <c r="I33" s="39"/>
      <c r="J33" s="39"/>
      <c r="K33" s="39"/>
      <c r="L33" s="39"/>
      <c r="M33" s="39"/>
      <c r="N33" s="39"/>
      <c r="O33" s="39"/>
      <c r="P33" s="39"/>
      <c r="Q33" s="39"/>
      <c r="R33" s="39"/>
      <c r="S33" s="39"/>
      <c r="T33" s="39"/>
      <c r="U33" s="39"/>
      <c r="V33" s="47"/>
      <c r="W33" s="55" t="s">
        <v>248</v>
      </c>
      <c r="X33" s="39"/>
      <c r="Y33" s="39"/>
      <c r="Z33" s="39"/>
      <c r="AA33" s="39"/>
      <c r="AB33" s="39"/>
      <c r="AC33" s="39"/>
      <c r="AD33" s="39"/>
      <c r="AE33" s="39"/>
      <c r="AF33" s="39"/>
      <c r="AG33" s="39"/>
      <c r="AH33" s="39"/>
      <c r="AI33" s="39"/>
      <c r="AJ33" s="39"/>
      <c r="AK33" s="39"/>
      <c r="AL33" s="39"/>
      <c r="AM33" s="46"/>
    </row>
    <row r="34" spans="1:39" s="41" customFormat="1" ht="20.100000000000001" customHeight="1" x14ac:dyDescent="0.25">
      <c r="A34" s="44"/>
      <c r="B34" s="39"/>
      <c r="C34" s="39"/>
      <c r="D34" s="39"/>
      <c r="E34" s="39"/>
      <c r="F34" s="39"/>
      <c r="G34" s="39"/>
      <c r="H34" s="39"/>
      <c r="J34" s="39"/>
      <c r="K34" s="39"/>
      <c r="L34" s="39"/>
      <c r="M34" s="39"/>
      <c r="N34" s="39"/>
      <c r="O34" s="39"/>
      <c r="P34" s="39"/>
      <c r="Q34" s="39"/>
      <c r="R34" s="39"/>
      <c r="S34" s="39"/>
      <c r="T34" s="39"/>
      <c r="U34" s="39"/>
      <c r="W34" s="54"/>
      <c r="X34" s="39"/>
      <c r="Y34" s="39"/>
      <c r="Z34" s="39"/>
      <c r="AA34" s="39"/>
      <c r="AB34" s="39"/>
      <c r="AC34" s="39"/>
      <c r="AD34" s="39"/>
      <c r="AE34" s="39"/>
      <c r="AF34" s="39"/>
      <c r="AG34" s="39"/>
      <c r="AH34" s="39"/>
      <c r="AI34" s="39"/>
      <c r="AJ34" s="39"/>
      <c r="AK34" s="39"/>
      <c r="AL34" s="39"/>
      <c r="AM34" s="46"/>
    </row>
    <row r="35" spans="1:39" s="41" customFormat="1" ht="20.100000000000001" customHeight="1" x14ac:dyDescent="0.25">
      <c r="A35" s="44"/>
      <c r="B35" s="258" t="s">
        <v>144</v>
      </c>
      <c r="C35" s="259"/>
      <c r="D35" s="259"/>
      <c r="E35" s="259"/>
      <c r="F35" s="259"/>
      <c r="G35" s="259"/>
      <c r="H35" s="260"/>
      <c r="J35" s="47"/>
      <c r="K35" s="54" t="s">
        <v>65</v>
      </c>
      <c r="L35" s="39"/>
      <c r="M35" s="39"/>
      <c r="O35" s="39"/>
      <c r="P35" s="39"/>
      <c r="Q35" s="39"/>
      <c r="R35" s="39"/>
      <c r="S35" s="39"/>
      <c r="T35" s="39"/>
      <c r="U35" s="39"/>
      <c r="V35" s="47"/>
      <c r="W35" s="54" t="s">
        <v>66</v>
      </c>
      <c r="X35" s="39"/>
      <c r="Y35" s="39"/>
      <c r="AC35" s="39"/>
      <c r="AD35" s="39"/>
      <c r="AE35" s="39"/>
      <c r="AF35" s="39"/>
      <c r="AG35" s="39"/>
      <c r="AH35" s="39"/>
      <c r="AI35" s="39"/>
      <c r="AJ35" s="39"/>
      <c r="AK35" s="39"/>
      <c r="AL35" s="39"/>
      <c r="AM35" s="46"/>
    </row>
    <row r="36" spans="1:39" s="41" customFormat="1" ht="20.100000000000001" customHeight="1" thickBot="1" x14ac:dyDescent="0.3">
      <c r="A36" s="48"/>
      <c r="B36" s="43"/>
      <c r="C36" s="43"/>
      <c r="D36" s="43"/>
      <c r="E36" s="43"/>
      <c r="F36" s="43"/>
      <c r="G36" s="43"/>
      <c r="H36" s="43"/>
      <c r="J36" s="43"/>
      <c r="K36" s="43"/>
      <c r="L36" s="43"/>
      <c r="M36" s="43"/>
      <c r="N36" s="43"/>
      <c r="O36" s="43"/>
      <c r="P36" s="43"/>
      <c r="Q36" s="43"/>
      <c r="R36" s="43"/>
      <c r="S36" s="43"/>
      <c r="T36" s="43"/>
      <c r="U36" s="43"/>
      <c r="V36" s="57"/>
      <c r="W36" s="58"/>
      <c r="X36" s="43"/>
      <c r="Y36" s="43"/>
      <c r="Z36" s="43"/>
      <c r="AA36" s="43"/>
      <c r="AB36" s="43"/>
      <c r="AC36" s="43"/>
      <c r="AD36" s="43"/>
      <c r="AE36" s="43"/>
      <c r="AF36" s="43"/>
      <c r="AG36" s="43"/>
      <c r="AH36" s="43"/>
      <c r="AI36" s="43"/>
      <c r="AJ36" s="43"/>
      <c r="AK36" s="43"/>
      <c r="AL36" s="43"/>
      <c r="AM36" s="50"/>
    </row>
    <row r="37" spans="1:39" s="41" customFormat="1" ht="20.100000000000001" customHeight="1" x14ac:dyDescent="0.25">
      <c r="A37" s="251" t="s">
        <v>145</v>
      </c>
      <c r="B37" s="252"/>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3"/>
    </row>
    <row r="38" spans="1:39" s="41" customFormat="1" ht="20.100000000000001" customHeight="1" x14ac:dyDescent="0.25">
      <c r="A38" s="44"/>
      <c r="B38" s="59"/>
      <c r="C38" s="60"/>
      <c r="D38" s="60"/>
      <c r="E38" s="60"/>
      <c r="F38" s="60"/>
      <c r="G38" s="60"/>
      <c r="H38" s="60"/>
      <c r="I38" s="60"/>
      <c r="J38" s="61"/>
      <c r="K38" s="61"/>
      <c r="L38" s="61"/>
      <c r="M38" s="61"/>
      <c r="N38" s="61"/>
      <c r="O38" s="61"/>
      <c r="P38" s="61"/>
      <c r="Q38" s="61"/>
      <c r="R38" s="61"/>
      <c r="S38" s="61"/>
      <c r="T38" s="61"/>
      <c r="U38" s="61"/>
      <c r="V38" s="60"/>
      <c r="W38" s="60"/>
      <c r="X38" s="60"/>
      <c r="Y38" s="60"/>
      <c r="Z38" s="60"/>
      <c r="AA38" s="60"/>
      <c r="AB38" s="60"/>
      <c r="AC38" s="62"/>
      <c r="AD38" s="62"/>
      <c r="AE38" s="62"/>
      <c r="AF38" s="62"/>
      <c r="AG38" s="62"/>
      <c r="AH38" s="62"/>
      <c r="AI38" s="60"/>
      <c r="AJ38" s="60"/>
      <c r="AK38" s="60"/>
      <c r="AL38" s="60"/>
      <c r="AM38" s="63"/>
    </row>
    <row r="39" spans="1:39" s="41" customFormat="1" ht="20.100000000000001" customHeight="1" x14ac:dyDescent="0.25">
      <c r="A39" s="44"/>
      <c r="B39" s="64"/>
      <c r="C39" s="54" t="s">
        <v>146</v>
      </c>
      <c r="D39" s="60"/>
      <c r="E39" s="60"/>
      <c r="F39" s="60"/>
      <c r="G39" s="60"/>
      <c r="H39" s="60"/>
      <c r="I39" s="60"/>
      <c r="J39" s="52"/>
      <c r="K39" s="64"/>
      <c r="L39" s="54" t="s">
        <v>147</v>
      </c>
      <c r="M39" s="54"/>
      <c r="N39" s="54"/>
      <c r="O39" s="54"/>
      <c r="P39" s="54"/>
      <c r="Q39" s="39"/>
      <c r="R39" s="64"/>
      <c r="S39" s="54" t="s">
        <v>148</v>
      </c>
      <c r="V39" s="39"/>
      <c r="W39" s="39"/>
      <c r="X39" s="54"/>
      <c r="Y39" s="54"/>
      <c r="Z39" s="64"/>
      <c r="AA39" s="54" t="s">
        <v>149</v>
      </c>
      <c r="AD39" s="54"/>
      <c r="AE39" s="54"/>
      <c r="AG39" s="39"/>
      <c r="AH39" s="39"/>
      <c r="AI39" s="65"/>
      <c r="AL39" s="54"/>
      <c r="AM39" s="56"/>
    </row>
    <row r="40" spans="1:39" s="41" customFormat="1" ht="20.100000000000001" customHeight="1" x14ac:dyDescent="0.25">
      <c r="A40" s="44"/>
      <c r="B40" s="52"/>
      <c r="C40" s="54"/>
      <c r="D40" s="60"/>
      <c r="E40" s="60"/>
      <c r="F40" s="60"/>
      <c r="G40" s="60"/>
      <c r="H40" s="60"/>
      <c r="I40" s="60"/>
      <c r="J40" s="52"/>
      <c r="K40" s="54"/>
      <c r="L40" s="54"/>
      <c r="M40" s="54"/>
      <c r="N40" s="54"/>
      <c r="O40" s="54"/>
      <c r="P40" s="54"/>
      <c r="Q40" s="39"/>
      <c r="R40" s="54"/>
      <c r="S40" s="54"/>
      <c r="V40" s="39"/>
      <c r="W40" s="39"/>
      <c r="X40" s="54"/>
      <c r="Y40" s="54"/>
      <c r="Z40" s="54"/>
      <c r="AA40" s="54"/>
      <c r="AD40" s="54"/>
      <c r="AE40" s="54"/>
      <c r="AG40" s="39"/>
      <c r="AH40" s="39"/>
      <c r="AI40" s="54"/>
      <c r="AL40" s="54"/>
      <c r="AM40" s="56"/>
    </row>
    <row r="41" spans="1:39" s="41" customFormat="1" ht="20.100000000000001" customHeight="1" x14ac:dyDescent="0.25">
      <c r="A41" s="44"/>
      <c r="B41" s="64"/>
      <c r="C41" s="54" t="s">
        <v>150</v>
      </c>
      <c r="D41" s="60"/>
      <c r="E41" s="60"/>
      <c r="F41" s="60"/>
      <c r="G41" s="60"/>
      <c r="H41" s="60"/>
      <c r="I41" s="60"/>
      <c r="J41" s="52"/>
      <c r="K41" s="64"/>
      <c r="L41" s="54" t="s">
        <v>151</v>
      </c>
      <c r="M41" s="54"/>
      <c r="N41" s="54"/>
      <c r="O41" s="54"/>
      <c r="P41" s="54"/>
      <c r="Q41" s="39"/>
      <c r="R41" s="64"/>
      <c r="S41" s="54" t="s">
        <v>152</v>
      </c>
      <c r="V41" s="39"/>
      <c r="W41" s="39"/>
      <c r="X41" s="54"/>
      <c r="Y41" s="54"/>
      <c r="Z41" s="64"/>
      <c r="AA41" s="54" t="s">
        <v>153</v>
      </c>
      <c r="AD41" s="54"/>
      <c r="AE41" s="54"/>
      <c r="AG41" s="39"/>
      <c r="AH41" s="39"/>
      <c r="AI41" s="54"/>
      <c r="AL41" s="54"/>
      <c r="AM41" s="56"/>
    </row>
    <row r="42" spans="1:39" s="41" customFormat="1" ht="20.100000000000001" customHeight="1" thickBot="1" x14ac:dyDescent="0.3">
      <c r="A42" s="48"/>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50"/>
    </row>
    <row r="43" spans="1:39" s="41" customFormat="1" ht="20.100000000000001" customHeight="1" x14ac:dyDescent="0.25">
      <c r="A43" s="261" t="s">
        <v>154</v>
      </c>
      <c r="B43" s="26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3"/>
    </row>
    <row r="44" spans="1:39" s="41" customFormat="1" ht="20.100000000000001" customHeight="1" x14ac:dyDescent="0.25">
      <c r="A44" s="44"/>
      <c r="B44" s="59"/>
      <c r="C44" s="60"/>
      <c r="D44" s="60"/>
      <c r="E44" s="60"/>
      <c r="F44" s="60"/>
      <c r="G44" s="60"/>
      <c r="H44" s="60"/>
      <c r="I44" s="60"/>
      <c r="J44" s="61"/>
      <c r="K44" s="61"/>
      <c r="L44" s="61"/>
      <c r="M44" s="61"/>
      <c r="N44" s="61"/>
      <c r="O44" s="61"/>
      <c r="P44" s="61"/>
      <c r="Q44" s="61"/>
      <c r="R44" s="61"/>
      <c r="S44" s="61"/>
      <c r="T44" s="61"/>
      <c r="U44" s="61"/>
      <c r="V44" s="60"/>
      <c r="W44" s="60"/>
      <c r="X44" s="60"/>
      <c r="Y44" s="60"/>
      <c r="Z44" s="60"/>
      <c r="AA44" s="60"/>
      <c r="AB44" s="60"/>
      <c r="AC44" s="62"/>
      <c r="AD44" s="62"/>
      <c r="AE44" s="62"/>
      <c r="AF44" s="62"/>
      <c r="AG44" s="62"/>
      <c r="AH44" s="62"/>
      <c r="AI44" s="60"/>
      <c r="AJ44" s="60"/>
      <c r="AK44" s="60"/>
      <c r="AL44" s="60"/>
      <c r="AM44" s="63"/>
    </row>
    <row r="45" spans="1:39" s="41" customFormat="1" ht="20.100000000000001" customHeight="1" x14ac:dyDescent="0.25">
      <c r="A45" s="44"/>
      <c r="B45" s="64"/>
      <c r="C45" s="54" t="s">
        <v>155</v>
      </c>
      <c r="D45" s="60"/>
      <c r="E45" s="60"/>
      <c r="F45" s="60"/>
      <c r="G45" s="60"/>
      <c r="H45" s="60"/>
      <c r="I45" s="60"/>
      <c r="J45" s="52"/>
      <c r="K45" s="64"/>
      <c r="L45" s="54" t="s">
        <v>156</v>
      </c>
      <c r="M45" s="54"/>
      <c r="N45" s="54"/>
      <c r="O45" s="54"/>
      <c r="P45" s="54"/>
      <c r="Q45" s="39"/>
      <c r="R45" s="64"/>
      <c r="S45" s="54" t="s">
        <v>157</v>
      </c>
      <c r="V45" s="39"/>
      <c r="W45" s="39"/>
      <c r="X45" s="54"/>
      <c r="Y45" s="54"/>
      <c r="Z45" s="64"/>
      <c r="AA45" s="54" t="s">
        <v>158</v>
      </c>
      <c r="AD45" s="54"/>
      <c r="AE45" s="54"/>
      <c r="AG45" s="39"/>
      <c r="AH45" s="39"/>
      <c r="AI45" s="65"/>
      <c r="AL45" s="54"/>
      <c r="AM45" s="56"/>
    </row>
    <row r="46" spans="1:39" s="41" customFormat="1" ht="20.100000000000001" customHeight="1" x14ac:dyDescent="0.25">
      <c r="A46" s="44"/>
      <c r="B46" s="52"/>
      <c r="C46" s="54"/>
      <c r="D46" s="60"/>
      <c r="E46" s="60"/>
      <c r="F46" s="60"/>
      <c r="G46" s="60"/>
      <c r="H46" s="60"/>
      <c r="I46" s="60"/>
      <c r="J46" s="52"/>
      <c r="K46" s="54"/>
      <c r="L46" s="54"/>
      <c r="M46" s="54"/>
      <c r="N46" s="54"/>
      <c r="O46" s="54"/>
      <c r="P46" s="54"/>
      <c r="Q46" s="39"/>
      <c r="R46" s="54"/>
      <c r="S46" s="54"/>
      <c r="V46" s="39"/>
      <c r="W46" s="39"/>
      <c r="X46" s="54"/>
      <c r="Y46" s="54"/>
      <c r="Z46" s="54"/>
      <c r="AA46" s="54"/>
      <c r="AD46" s="54"/>
      <c r="AE46" s="54"/>
      <c r="AG46" s="39"/>
      <c r="AH46" s="39"/>
      <c r="AI46" s="54"/>
      <c r="AL46" s="54"/>
      <c r="AM46" s="56"/>
    </row>
    <row r="47" spans="1:39" s="41" customFormat="1" ht="20.100000000000001" customHeight="1" x14ac:dyDescent="0.25">
      <c r="A47" s="44"/>
      <c r="B47" s="64"/>
      <c r="C47" s="54" t="s">
        <v>159</v>
      </c>
      <c r="D47" s="60"/>
      <c r="E47" s="60"/>
      <c r="F47" s="60"/>
      <c r="G47" s="60"/>
      <c r="H47" s="60"/>
      <c r="I47" s="60"/>
      <c r="J47" s="52"/>
      <c r="K47" s="64"/>
      <c r="L47" s="54" t="s">
        <v>160</v>
      </c>
      <c r="M47" s="54"/>
      <c r="N47" s="54"/>
      <c r="O47" s="54"/>
      <c r="P47" s="54"/>
      <c r="Q47" s="39"/>
      <c r="R47" s="64"/>
      <c r="S47" s="54" t="s">
        <v>161</v>
      </c>
      <c r="V47" s="39"/>
      <c r="W47" s="39"/>
      <c r="X47" s="54"/>
      <c r="Y47" s="54"/>
      <c r="Z47" s="64"/>
      <c r="AA47" s="54" t="s">
        <v>162</v>
      </c>
      <c r="AD47" s="54"/>
      <c r="AE47" s="54"/>
      <c r="AG47" s="39"/>
      <c r="AH47" s="39"/>
      <c r="AI47" s="54"/>
      <c r="AL47" s="54"/>
      <c r="AM47" s="56"/>
    </row>
    <row r="48" spans="1:39" s="41" customFormat="1" ht="20.100000000000001" customHeight="1" thickBot="1" x14ac:dyDescent="0.3">
      <c r="A48" s="48"/>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50"/>
    </row>
    <row r="49" spans="1:39" s="41" customFormat="1" ht="20.100000000000001" customHeight="1" x14ac:dyDescent="0.25">
      <c r="A49" s="251" t="s">
        <v>163</v>
      </c>
      <c r="B49" s="252"/>
      <c r="C49" s="252"/>
      <c r="D49" s="252"/>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c r="AM49" s="253"/>
    </row>
    <row r="50" spans="1:39" s="41" customFormat="1" ht="20.100000000000001" customHeight="1" x14ac:dyDescent="0.25">
      <c r="A50" s="44"/>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46"/>
    </row>
    <row r="51" spans="1:39" s="41" customFormat="1" ht="20.100000000000001" customHeight="1" x14ac:dyDescent="0.25">
      <c r="A51" s="44"/>
      <c r="B51" s="256" t="s">
        <v>253</v>
      </c>
      <c r="C51" s="257"/>
      <c r="D51" s="257"/>
      <c r="E51" s="257"/>
      <c r="F51" s="257"/>
      <c r="G51" s="257"/>
      <c r="H51" s="257"/>
      <c r="I51" s="257"/>
      <c r="J51" s="257"/>
      <c r="K51" s="255"/>
      <c r="L51" s="255"/>
      <c r="M51" s="255"/>
      <c r="N51" s="255"/>
      <c r="O51" s="255"/>
      <c r="P51" s="39"/>
      <c r="Q51" s="256" t="s">
        <v>254</v>
      </c>
      <c r="R51" s="257"/>
      <c r="S51" s="257"/>
      <c r="T51" s="257"/>
      <c r="U51" s="257"/>
      <c r="V51" s="257"/>
      <c r="W51" s="257"/>
      <c r="X51" s="254"/>
      <c r="Y51" s="254"/>
      <c r="Z51" s="254"/>
      <c r="AA51" s="254"/>
      <c r="AB51" s="39"/>
      <c r="AC51" s="256" t="s">
        <v>5</v>
      </c>
      <c r="AD51" s="257"/>
      <c r="AE51" s="257"/>
      <c r="AF51" s="257"/>
      <c r="AG51" s="257"/>
      <c r="AH51" s="257"/>
      <c r="AI51" s="257"/>
      <c r="AJ51" s="254"/>
      <c r="AK51" s="254"/>
      <c r="AL51" s="254"/>
      <c r="AM51" s="46"/>
    </row>
    <row r="52" spans="1:39" s="41" customFormat="1" ht="20.100000000000001" customHeight="1" x14ac:dyDescent="0.25">
      <c r="A52" s="44"/>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46"/>
    </row>
    <row r="53" spans="1:39" s="41" customFormat="1" ht="20.100000000000001" customHeight="1" x14ac:dyDescent="0.25">
      <c r="A53" s="44"/>
      <c r="B53" s="254" t="s">
        <v>3</v>
      </c>
      <c r="C53" s="254"/>
      <c r="D53" s="254"/>
      <c r="E53" s="254"/>
      <c r="F53" s="254"/>
      <c r="G53" s="254"/>
      <c r="H53" s="254"/>
      <c r="I53" s="254"/>
      <c r="J53" s="254"/>
      <c r="K53" s="39"/>
      <c r="L53" s="47"/>
      <c r="M53" s="54" t="s">
        <v>164</v>
      </c>
      <c r="N53" s="39"/>
      <c r="O53" s="39"/>
      <c r="P53" s="39"/>
      <c r="Q53" s="47"/>
      <c r="R53" s="54" t="s">
        <v>165</v>
      </c>
      <c r="S53" s="39"/>
      <c r="T53" s="39"/>
      <c r="U53" s="39"/>
      <c r="V53" s="39"/>
      <c r="W53" s="47"/>
      <c r="X53" s="54" t="s">
        <v>166</v>
      </c>
      <c r="Y53" s="39"/>
      <c r="Z53" s="39"/>
      <c r="AA53" s="39"/>
      <c r="AB53" s="39"/>
      <c r="AE53" s="39"/>
      <c r="AF53" s="39"/>
      <c r="AG53" s="39"/>
      <c r="AH53" s="39"/>
      <c r="AI53" s="39"/>
      <c r="AJ53" s="39"/>
      <c r="AK53" s="39"/>
      <c r="AL53" s="39"/>
      <c r="AM53" s="46"/>
    </row>
    <row r="54" spans="1:39" s="41" customFormat="1" ht="20.100000000000001" customHeight="1" x14ac:dyDescent="0.25">
      <c r="A54" s="44"/>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46"/>
    </row>
    <row r="55" spans="1:39" s="41" customFormat="1" ht="20.100000000000001" customHeight="1" x14ac:dyDescent="0.25">
      <c r="A55" s="44"/>
      <c r="B55" s="254" t="s">
        <v>4</v>
      </c>
      <c r="C55" s="254"/>
      <c r="D55" s="254"/>
      <c r="E55" s="254"/>
      <c r="F55" s="254"/>
      <c r="G55" s="254"/>
      <c r="H55" s="254"/>
      <c r="I55" s="254"/>
      <c r="J55" s="254"/>
      <c r="K55" s="39"/>
      <c r="L55" s="47"/>
      <c r="M55" s="54" t="s">
        <v>67</v>
      </c>
      <c r="N55" s="39"/>
      <c r="O55" s="39"/>
      <c r="P55" s="39"/>
      <c r="Q55" s="47"/>
      <c r="R55" s="54" t="s">
        <v>167</v>
      </c>
      <c r="S55" s="39"/>
      <c r="T55" s="39"/>
      <c r="U55" s="39"/>
      <c r="V55" s="39"/>
      <c r="W55" s="39"/>
      <c r="X55" s="39"/>
      <c r="Y55" s="39"/>
      <c r="Z55" s="39"/>
      <c r="AA55" s="39"/>
      <c r="AB55" s="39"/>
      <c r="AC55" s="39"/>
      <c r="AD55" s="39"/>
      <c r="AE55" s="39"/>
      <c r="AF55" s="39"/>
      <c r="AG55" s="39"/>
      <c r="AH55" s="39"/>
      <c r="AI55" s="39"/>
      <c r="AJ55" s="39"/>
      <c r="AK55" s="39"/>
      <c r="AL55" s="39"/>
      <c r="AM55" s="46"/>
    </row>
    <row r="56" spans="1:39" s="41" customFormat="1" ht="20.100000000000001" customHeight="1" x14ac:dyDescent="0.25">
      <c r="A56" s="44"/>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46"/>
    </row>
    <row r="57" spans="1:39" s="41" customFormat="1" ht="20.100000000000001" customHeight="1" x14ac:dyDescent="0.25">
      <c r="A57" s="44"/>
      <c r="B57" s="254" t="s">
        <v>0</v>
      </c>
      <c r="C57" s="254"/>
      <c r="D57" s="254"/>
      <c r="E57" s="254"/>
      <c r="F57" s="254"/>
      <c r="G57" s="254"/>
      <c r="H57" s="254"/>
      <c r="I57" s="254"/>
      <c r="J57" s="254"/>
      <c r="K57" s="39"/>
      <c r="L57" s="47"/>
      <c r="M57" s="54" t="s">
        <v>168</v>
      </c>
      <c r="N57" s="39"/>
      <c r="O57" s="39"/>
      <c r="P57" s="39"/>
      <c r="Q57" s="47"/>
      <c r="R57" s="54" t="s">
        <v>255</v>
      </c>
      <c r="S57" s="39"/>
      <c r="T57" s="39"/>
      <c r="U57" s="39"/>
      <c r="V57" s="39"/>
      <c r="W57" s="47"/>
      <c r="X57" s="54" t="s">
        <v>256</v>
      </c>
      <c r="Y57" s="39"/>
      <c r="Z57" s="39"/>
      <c r="AA57" s="39"/>
      <c r="AB57" s="39"/>
      <c r="AC57" s="39"/>
      <c r="AD57" s="39"/>
      <c r="AE57" s="39"/>
      <c r="AF57" s="39"/>
      <c r="AG57" s="39"/>
      <c r="AH57" s="39"/>
      <c r="AI57" s="39"/>
      <c r="AJ57" s="39"/>
      <c r="AK57" s="39"/>
      <c r="AL57" s="39"/>
      <c r="AM57" s="46"/>
    </row>
    <row r="58" spans="1:39" s="41" customFormat="1" ht="20.100000000000001" customHeight="1" x14ac:dyDescent="0.25">
      <c r="A58" s="44"/>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46"/>
    </row>
    <row r="59" spans="1:39" s="41" customFormat="1" ht="20.100000000000001" customHeight="1" x14ac:dyDescent="0.25">
      <c r="A59" s="44"/>
      <c r="B59" s="254" t="s">
        <v>169</v>
      </c>
      <c r="C59" s="254"/>
      <c r="D59" s="254"/>
      <c r="E59" s="254"/>
      <c r="F59" s="254"/>
      <c r="G59" s="254"/>
      <c r="H59" s="254"/>
      <c r="I59" s="254"/>
      <c r="J59" s="254"/>
      <c r="K59" s="39"/>
      <c r="L59" s="47"/>
      <c r="M59" s="54" t="s">
        <v>170</v>
      </c>
      <c r="N59" s="39"/>
      <c r="O59" s="39"/>
      <c r="P59" s="39"/>
      <c r="Q59" s="47"/>
      <c r="R59" s="54" t="s">
        <v>171</v>
      </c>
      <c r="S59" s="39"/>
      <c r="T59" s="39"/>
      <c r="U59" s="39"/>
      <c r="V59" s="39"/>
      <c r="W59" s="47"/>
      <c r="X59" s="54" t="s">
        <v>172</v>
      </c>
      <c r="Y59" s="39"/>
      <c r="Z59" s="39"/>
      <c r="AA59" s="39"/>
      <c r="AB59" s="39"/>
      <c r="AC59" s="47"/>
      <c r="AD59" s="54" t="s">
        <v>173</v>
      </c>
      <c r="AE59" s="39"/>
      <c r="AF59" s="39"/>
      <c r="AG59" s="39"/>
      <c r="AH59" s="39"/>
      <c r="AI59" s="39"/>
      <c r="AJ59" s="39"/>
      <c r="AK59" s="39"/>
      <c r="AL59" s="39"/>
      <c r="AM59" s="46"/>
    </row>
    <row r="60" spans="1:39" s="41" customFormat="1" ht="20.100000000000001" customHeight="1" x14ac:dyDescent="0.25">
      <c r="A60" s="44"/>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46"/>
    </row>
    <row r="61" spans="1:39" s="41" customFormat="1" ht="20.100000000000001" customHeight="1" x14ac:dyDescent="0.25">
      <c r="A61" s="44"/>
      <c r="B61" s="254" t="s">
        <v>6</v>
      </c>
      <c r="C61" s="254"/>
      <c r="D61" s="254"/>
      <c r="E61" s="254"/>
      <c r="F61" s="254"/>
      <c r="G61" s="254"/>
      <c r="H61" s="254"/>
      <c r="I61" s="254"/>
      <c r="J61" s="254"/>
      <c r="K61" s="39"/>
      <c r="L61" s="47"/>
      <c r="M61" s="54" t="s">
        <v>174</v>
      </c>
      <c r="N61" s="39"/>
      <c r="O61" s="39"/>
      <c r="P61" s="39"/>
      <c r="Q61" s="47"/>
      <c r="R61" s="54" t="s">
        <v>175</v>
      </c>
      <c r="S61" s="39"/>
      <c r="T61" s="39"/>
      <c r="U61" s="39"/>
      <c r="V61" s="39"/>
      <c r="W61" s="39"/>
      <c r="X61" s="39"/>
      <c r="Y61" s="39"/>
      <c r="Z61" s="39"/>
      <c r="AA61" s="39"/>
      <c r="AB61" s="39"/>
      <c r="AC61" s="39"/>
      <c r="AD61" s="39"/>
      <c r="AE61" s="39"/>
      <c r="AF61" s="39"/>
      <c r="AG61" s="39"/>
      <c r="AH61" s="39"/>
      <c r="AI61" s="39"/>
      <c r="AJ61" s="39"/>
      <c r="AK61" s="39"/>
      <c r="AL61" s="39"/>
      <c r="AM61" s="46"/>
    </row>
    <row r="62" spans="1:39" s="41" customFormat="1" ht="20.100000000000001" customHeight="1" x14ac:dyDescent="0.25">
      <c r="A62" s="44"/>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46"/>
    </row>
    <row r="63" spans="1:39" s="41" customFormat="1" ht="20.100000000000001" customHeight="1" x14ac:dyDescent="0.25">
      <c r="A63" s="44"/>
      <c r="B63" s="254" t="s">
        <v>257</v>
      </c>
      <c r="C63" s="254"/>
      <c r="D63" s="254"/>
      <c r="E63" s="254"/>
      <c r="F63" s="254"/>
      <c r="G63" s="254"/>
      <c r="H63" s="254"/>
      <c r="I63" s="254"/>
      <c r="J63" s="254"/>
      <c r="K63" s="39"/>
      <c r="L63" s="47"/>
      <c r="M63" s="54" t="s">
        <v>176</v>
      </c>
      <c r="N63" s="39"/>
      <c r="O63" s="39"/>
      <c r="P63" s="39"/>
      <c r="Q63" s="47"/>
      <c r="R63" s="54" t="s">
        <v>177</v>
      </c>
      <c r="S63" s="39"/>
      <c r="T63" s="39"/>
      <c r="U63" s="39"/>
      <c r="V63" s="39"/>
      <c r="W63" s="47"/>
      <c r="X63" s="54" t="s">
        <v>178</v>
      </c>
      <c r="Y63" s="39"/>
      <c r="Z63" s="39"/>
      <c r="AA63" s="39"/>
      <c r="AB63" s="39"/>
      <c r="AD63" s="54"/>
      <c r="AE63" s="39"/>
      <c r="AF63" s="39"/>
      <c r="AG63" s="39"/>
      <c r="AH63" s="39"/>
      <c r="AI63" s="39"/>
      <c r="AJ63" s="39"/>
      <c r="AK63" s="39"/>
      <c r="AL63" s="39"/>
      <c r="AM63" s="46"/>
    </row>
    <row r="64" spans="1:39" s="41" customFormat="1" ht="20.100000000000001" customHeight="1" thickBot="1" x14ac:dyDescent="0.3">
      <c r="A64" s="48"/>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50"/>
    </row>
    <row r="65" spans="1:39" s="41" customFormat="1" ht="20.100000000000001" customHeight="1" x14ac:dyDescent="0.25">
      <c r="A65" s="251" t="s">
        <v>179</v>
      </c>
      <c r="B65" s="252"/>
      <c r="C65" s="252"/>
      <c r="D65" s="252"/>
      <c r="E65" s="252"/>
      <c r="F65" s="252"/>
      <c r="G65" s="252"/>
      <c r="H65" s="252"/>
      <c r="I65" s="252"/>
      <c r="J65" s="252"/>
      <c r="K65" s="252"/>
      <c r="L65" s="252"/>
      <c r="M65" s="252"/>
      <c r="N65" s="252"/>
      <c r="O65" s="252"/>
      <c r="P65" s="252"/>
      <c r="Q65" s="252"/>
      <c r="R65" s="252"/>
      <c r="S65" s="252"/>
      <c r="T65" s="252"/>
      <c r="U65" s="252"/>
      <c r="V65" s="252"/>
      <c r="W65" s="252"/>
      <c r="X65" s="252"/>
      <c r="Y65" s="252"/>
      <c r="Z65" s="252"/>
      <c r="AA65" s="252"/>
      <c r="AB65" s="252"/>
      <c r="AC65" s="252"/>
      <c r="AD65" s="252"/>
      <c r="AE65" s="252"/>
      <c r="AF65" s="252"/>
      <c r="AG65" s="252"/>
      <c r="AH65" s="252"/>
      <c r="AI65" s="252"/>
      <c r="AJ65" s="252"/>
      <c r="AK65" s="252"/>
      <c r="AL65" s="252"/>
      <c r="AM65" s="253"/>
    </row>
    <row r="66" spans="1:39" s="41" customFormat="1" ht="20.100000000000001" customHeight="1" x14ac:dyDescent="0.25">
      <c r="A66" s="44"/>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46"/>
    </row>
    <row r="67" spans="1:39" s="41" customFormat="1" ht="20.100000000000001" customHeight="1" x14ac:dyDescent="0.25">
      <c r="A67" s="44"/>
      <c r="B67" s="254" t="s">
        <v>180</v>
      </c>
      <c r="C67" s="254"/>
      <c r="D67" s="254"/>
      <c r="E67" s="254"/>
      <c r="F67" s="254"/>
      <c r="G67" s="254"/>
      <c r="H67" s="254"/>
      <c r="I67" s="254"/>
      <c r="J67" s="254"/>
      <c r="K67" s="39"/>
      <c r="L67" s="47"/>
      <c r="M67" s="54" t="s">
        <v>181</v>
      </c>
      <c r="N67" s="39"/>
      <c r="O67" s="39"/>
      <c r="P67" s="39"/>
      <c r="Q67" s="47"/>
      <c r="R67" s="54" t="s">
        <v>182</v>
      </c>
      <c r="S67" s="39"/>
      <c r="T67" s="39"/>
      <c r="U67" s="39"/>
      <c r="V67" s="39"/>
      <c r="W67" s="47"/>
      <c r="X67" s="54" t="s">
        <v>67</v>
      </c>
      <c r="Y67" s="39"/>
      <c r="Z67" s="39"/>
      <c r="AA67" s="39"/>
      <c r="AB67" s="39"/>
      <c r="AC67" s="47"/>
      <c r="AD67" s="54" t="s">
        <v>183</v>
      </c>
      <c r="AE67" s="39"/>
      <c r="AF67" s="39"/>
      <c r="AG67" s="39"/>
      <c r="AH67" s="39"/>
      <c r="AI67" s="39"/>
      <c r="AJ67" s="39"/>
      <c r="AK67" s="39"/>
      <c r="AL67" s="39"/>
      <c r="AM67" s="46"/>
    </row>
    <row r="68" spans="1:39" s="41" customFormat="1" ht="20.100000000000001" customHeight="1" x14ac:dyDescent="0.25">
      <c r="A68" s="44"/>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46"/>
    </row>
    <row r="69" spans="1:39" s="41" customFormat="1" ht="20.100000000000001" customHeight="1" x14ac:dyDescent="0.25">
      <c r="A69" s="44"/>
      <c r="B69" s="254" t="s">
        <v>8</v>
      </c>
      <c r="C69" s="254"/>
      <c r="D69" s="254"/>
      <c r="E69" s="254"/>
      <c r="F69" s="254"/>
      <c r="G69" s="254"/>
      <c r="H69" s="254"/>
      <c r="I69" s="254"/>
      <c r="J69" s="254"/>
      <c r="K69" s="39"/>
      <c r="L69" s="47"/>
      <c r="M69" s="54" t="s">
        <v>184</v>
      </c>
      <c r="N69" s="39"/>
      <c r="O69" s="39"/>
      <c r="P69" s="39"/>
      <c r="Q69" s="47"/>
      <c r="R69" s="54" t="s">
        <v>185</v>
      </c>
      <c r="S69" s="39"/>
      <c r="T69" s="39"/>
      <c r="U69" s="39"/>
      <c r="V69" s="39"/>
      <c r="W69" s="47"/>
      <c r="X69" s="54" t="s">
        <v>186</v>
      </c>
      <c r="Y69" s="39"/>
      <c r="Z69" s="39"/>
      <c r="AA69" s="39"/>
      <c r="AB69" s="39"/>
      <c r="AC69" s="47"/>
      <c r="AD69" s="54" t="s">
        <v>187</v>
      </c>
      <c r="AE69" s="39"/>
      <c r="AF69" s="39"/>
      <c r="AG69" s="39"/>
      <c r="AH69" s="39"/>
      <c r="AI69" s="39"/>
      <c r="AJ69" s="39"/>
      <c r="AK69" s="39"/>
      <c r="AL69" s="39"/>
      <c r="AM69" s="46"/>
    </row>
    <row r="70" spans="1:39" s="41" customFormat="1" ht="20.100000000000001" customHeight="1" x14ac:dyDescent="0.25">
      <c r="A70" s="44"/>
      <c r="B70" s="60"/>
      <c r="C70" s="60"/>
      <c r="D70" s="60"/>
      <c r="E70" s="60"/>
      <c r="F70" s="60"/>
      <c r="G70" s="60"/>
      <c r="H70" s="60"/>
      <c r="I70" s="60"/>
      <c r="J70" s="60"/>
      <c r="K70" s="39"/>
      <c r="M70" s="54"/>
      <c r="N70" s="39"/>
      <c r="O70" s="39"/>
      <c r="P70" s="39"/>
      <c r="R70" s="54"/>
      <c r="S70" s="39"/>
      <c r="T70" s="39"/>
      <c r="U70" s="39"/>
      <c r="V70" s="39"/>
      <c r="X70" s="54"/>
      <c r="Y70" s="39"/>
      <c r="Z70" s="39"/>
      <c r="AA70" s="39"/>
      <c r="AB70" s="39"/>
      <c r="AD70" s="54"/>
      <c r="AE70" s="39"/>
      <c r="AF70" s="39"/>
      <c r="AG70" s="39"/>
      <c r="AH70" s="39"/>
      <c r="AI70" s="39"/>
      <c r="AJ70" s="39"/>
      <c r="AK70" s="39"/>
      <c r="AL70" s="39"/>
      <c r="AM70" s="46"/>
    </row>
    <row r="71" spans="1:39" s="41" customFormat="1" ht="20.100000000000001" customHeight="1" x14ac:dyDescent="0.25">
      <c r="A71" s="44"/>
      <c r="B71" s="60"/>
      <c r="C71" s="60"/>
      <c r="D71" s="60"/>
      <c r="E71" s="60"/>
      <c r="F71" s="60"/>
      <c r="G71" s="60"/>
      <c r="H71" s="60"/>
      <c r="I71" s="60"/>
      <c r="J71" s="60"/>
      <c r="K71" s="39"/>
      <c r="L71" s="47"/>
      <c r="M71" s="54" t="s">
        <v>188</v>
      </c>
      <c r="N71" s="39"/>
      <c r="O71" s="39"/>
      <c r="P71" s="39"/>
      <c r="Q71" s="47"/>
      <c r="R71" s="54" t="s">
        <v>189</v>
      </c>
      <c r="S71" s="39"/>
      <c r="T71" s="39"/>
      <c r="U71" s="39"/>
      <c r="V71" s="39"/>
      <c r="W71" s="47"/>
      <c r="X71" s="54" t="s">
        <v>190</v>
      </c>
      <c r="Y71" s="39"/>
      <c r="Z71" s="39"/>
      <c r="AA71" s="39"/>
      <c r="AB71" s="39"/>
      <c r="AD71" s="54"/>
      <c r="AE71" s="39"/>
      <c r="AF71" s="39"/>
      <c r="AG71" s="39"/>
      <c r="AH71" s="39"/>
      <c r="AI71" s="39"/>
      <c r="AJ71" s="39"/>
      <c r="AK71" s="39"/>
      <c r="AL71" s="39"/>
      <c r="AM71" s="46"/>
    </row>
    <row r="72" spans="1:39" s="41" customFormat="1" ht="20.100000000000001" customHeight="1" thickBot="1" x14ac:dyDescent="0.3">
      <c r="A72" s="48"/>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50"/>
    </row>
    <row r="73" spans="1:39" s="41" customFormat="1" ht="20.100000000000001" customHeight="1" x14ac:dyDescent="0.25">
      <c r="A73" s="251" t="s">
        <v>191</v>
      </c>
      <c r="B73" s="252"/>
      <c r="C73" s="252"/>
      <c r="D73" s="252"/>
      <c r="E73" s="252"/>
      <c r="F73" s="252"/>
      <c r="G73" s="252"/>
      <c r="H73" s="252"/>
      <c r="I73" s="252"/>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2"/>
      <c r="AL73" s="252"/>
      <c r="AM73" s="253"/>
    </row>
    <row r="74" spans="1:39" s="41" customFormat="1" ht="20.100000000000001" customHeight="1" x14ac:dyDescent="0.25">
      <c r="A74" s="44"/>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46"/>
    </row>
    <row r="75" spans="1:39" s="41" customFormat="1" ht="20.100000000000001" customHeight="1" x14ac:dyDescent="0.25">
      <c r="A75" s="44"/>
      <c r="B75" s="254" t="s">
        <v>192</v>
      </c>
      <c r="C75" s="254"/>
      <c r="D75" s="254"/>
      <c r="E75" s="254"/>
      <c r="F75" s="254"/>
      <c r="G75" s="254"/>
      <c r="H75" s="254"/>
      <c r="I75" s="254"/>
      <c r="J75" s="254"/>
      <c r="K75" s="39"/>
      <c r="L75" s="47"/>
      <c r="M75" s="54" t="s">
        <v>193</v>
      </c>
      <c r="N75" s="39"/>
      <c r="O75" s="39"/>
      <c r="P75" s="39"/>
      <c r="Q75" s="39"/>
      <c r="R75" s="47"/>
      <c r="S75" s="54" t="s">
        <v>194</v>
      </c>
      <c r="T75" s="39"/>
      <c r="U75" s="39"/>
      <c r="V75" s="39"/>
      <c r="W75" s="39"/>
      <c r="X75" s="39"/>
      <c r="Y75" s="47"/>
      <c r="Z75" s="54" t="s">
        <v>195</v>
      </c>
      <c r="AA75" s="39"/>
      <c r="AB75" s="39"/>
      <c r="AC75" s="39"/>
      <c r="AD75" s="39"/>
      <c r="AF75" s="39"/>
      <c r="AG75" s="39"/>
      <c r="AH75" s="39"/>
      <c r="AI75" s="39"/>
      <c r="AJ75" s="39"/>
      <c r="AK75" s="39"/>
      <c r="AL75" s="39"/>
      <c r="AM75" s="46"/>
    </row>
    <row r="76" spans="1:39" s="41" customFormat="1" ht="20.100000000000001" customHeight="1" x14ac:dyDescent="0.25">
      <c r="A76" s="44"/>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46"/>
    </row>
    <row r="77" spans="1:39" s="41" customFormat="1" ht="20.100000000000001" customHeight="1" x14ac:dyDescent="0.25">
      <c r="A77" s="44"/>
      <c r="B77" s="254" t="s">
        <v>196</v>
      </c>
      <c r="C77" s="254"/>
      <c r="D77" s="254"/>
      <c r="E77" s="254"/>
      <c r="F77" s="254"/>
      <c r="G77" s="254"/>
      <c r="H77" s="254"/>
      <c r="I77" s="254"/>
      <c r="J77" s="254"/>
      <c r="K77" s="39"/>
      <c r="L77" s="47"/>
      <c r="M77" s="54" t="s">
        <v>193</v>
      </c>
      <c r="N77" s="39"/>
      <c r="O77" s="39"/>
      <c r="P77" s="39"/>
      <c r="Q77" s="39"/>
      <c r="R77" s="47"/>
      <c r="S77" s="54" t="s">
        <v>151</v>
      </c>
      <c r="T77" s="39"/>
      <c r="U77" s="39"/>
      <c r="V77" s="39"/>
      <c r="W77" s="39"/>
      <c r="X77" s="39"/>
      <c r="Y77" s="47"/>
      <c r="Z77" s="54" t="s">
        <v>197</v>
      </c>
      <c r="AA77" s="39"/>
      <c r="AC77" s="54"/>
      <c r="AD77" s="39"/>
      <c r="AE77" s="39"/>
      <c r="AF77" s="39"/>
      <c r="AG77" s="39"/>
      <c r="AH77" s="39"/>
      <c r="AI77" s="39"/>
      <c r="AJ77" s="39"/>
      <c r="AK77" s="39"/>
      <c r="AL77" s="39"/>
      <c r="AM77" s="46"/>
    </row>
    <row r="78" spans="1:39" s="41" customFormat="1" ht="20.100000000000001" customHeight="1" thickBot="1" x14ac:dyDescent="0.3">
      <c r="A78" s="66"/>
      <c r="B78" s="67"/>
      <c r="C78" s="67"/>
      <c r="D78" s="67"/>
      <c r="E78" s="67"/>
      <c r="F78" s="67"/>
      <c r="G78" s="67"/>
      <c r="H78" s="67"/>
      <c r="I78" s="67"/>
      <c r="J78" s="43"/>
      <c r="K78" s="57"/>
      <c r="L78" s="58"/>
      <c r="M78" s="43"/>
      <c r="N78" s="43"/>
      <c r="O78" s="43"/>
      <c r="P78" s="57"/>
      <c r="Q78" s="58"/>
      <c r="R78" s="43"/>
      <c r="S78" s="43"/>
      <c r="T78" s="43"/>
      <c r="U78" s="43"/>
      <c r="V78" s="57"/>
      <c r="W78" s="58"/>
      <c r="X78" s="43"/>
      <c r="Y78" s="43"/>
      <c r="Z78" s="43"/>
      <c r="AA78" s="43"/>
      <c r="AB78" s="57"/>
      <c r="AC78" s="58"/>
      <c r="AD78" s="43"/>
      <c r="AE78" s="43"/>
      <c r="AF78" s="43"/>
      <c r="AG78" s="43"/>
      <c r="AH78" s="43"/>
      <c r="AI78" s="43"/>
      <c r="AJ78" s="43"/>
      <c r="AK78" s="43"/>
      <c r="AL78" s="43"/>
      <c r="AM78" s="50"/>
    </row>
    <row r="79" spans="1:39" s="41" customFormat="1" ht="20.100000000000001" customHeight="1" x14ac:dyDescent="0.25">
      <c r="A79" s="251" t="s">
        <v>198</v>
      </c>
      <c r="B79" s="252"/>
      <c r="C79" s="252"/>
      <c r="D79" s="252"/>
      <c r="E79" s="252"/>
      <c r="F79" s="252"/>
      <c r="G79" s="252"/>
      <c r="H79" s="252"/>
      <c r="I79" s="252"/>
      <c r="J79" s="252"/>
      <c r="K79" s="252"/>
      <c r="L79" s="252"/>
      <c r="M79" s="252"/>
      <c r="N79" s="252"/>
      <c r="O79" s="252"/>
      <c r="P79" s="252"/>
      <c r="Q79" s="252"/>
      <c r="R79" s="252"/>
      <c r="S79" s="252"/>
      <c r="T79" s="252"/>
      <c r="U79" s="252"/>
      <c r="V79" s="252"/>
      <c r="W79" s="252"/>
      <c r="X79" s="252"/>
      <c r="Y79" s="252"/>
      <c r="Z79" s="252"/>
      <c r="AA79" s="252"/>
      <c r="AB79" s="252"/>
      <c r="AC79" s="252"/>
      <c r="AD79" s="252"/>
      <c r="AE79" s="252"/>
      <c r="AF79" s="252"/>
      <c r="AG79" s="252"/>
      <c r="AH79" s="252"/>
      <c r="AI79" s="252"/>
      <c r="AJ79" s="252"/>
      <c r="AK79" s="252"/>
      <c r="AL79" s="252"/>
      <c r="AM79" s="253"/>
    </row>
    <row r="80" spans="1:39" s="41" customFormat="1" ht="20.100000000000001" customHeight="1" x14ac:dyDescent="0.25">
      <c r="A80" s="44"/>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46"/>
    </row>
    <row r="81" spans="1:39" s="41" customFormat="1" ht="20.100000000000001" customHeight="1" x14ac:dyDescent="0.25">
      <c r="A81" s="44"/>
      <c r="B81" s="60"/>
      <c r="C81" s="64"/>
      <c r="D81" s="54" t="s">
        <v>199</v>
      </c>
      <c r="E81" s="60"/>
      <c r="F81" s="60"/>
      <c r="G81" s="60"/>
      <c r="H81" s="60"/>
      <c r="I81" s="64"/>
      <c r="J81" s="54" t="s">
        <v>200</v>
      </c>
      <c r="K81" s="39"/>
      <c r="M81" s="54"/>
      <c r="N81" s="39"/>
      <c r="O81" s="64"/>
      <c r="P81" s="54" t="s">
        <v>201</v>
      </c>
      <c r="Q81" s="39"/>
      <c r="S81" s="54"/>
      <c r="T81" s="39"/>
      <c r="U81" s="39"/>
      <c r="V81" s="39"/>
      <c r="X81" s="64"/>
      <c r="Y81" s="54" t="s">
        <v>202</v>
      </c>
      <c r="Z81" s="39"/>
      <c r="AA81" s="39"/>
      <c r="AB81" s="39"/>
      <c r="AD81" s="64"/>
      <c r="AE81" s="54" t="s">
        <v>203</v>
      </c>
      <c r="AF81" s="39"/>
      <c r="AG81" s="39"/>
      <c r="AH81" s="39"/>
      <c r="AI81" s="39"/>
      <c r="AJ81" s="39"/>
      <c r="AK81" s="39"/>
      <c r="AL81" s="39"/>
      <c r="AM81" s="46"/>
    </row>
    <row r="82" spans="1:39" s="41" customFormat="1" ht="20.100000000000001" customHeight="1" x14ac:dyDescent="0.25">
      <c r="A82" s="44"/>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46"/>
    </row>
    <row r="83" spans="1:39" s="41" customFormat="1" ht="20.100000000000001" customHeight="1" x14ac:dyDescent="0.25">
      <c r="A83" s="44"/>
      <c r="B83" s="60"/>
      <c r="C83" s="64"/>
      <c r="D83" s="54" t="s">
        <v>204</v>
      </c>
      <c r="E83" s="60"/>
      <c r="F83" s="60"/>
      <c r="G83" s="60"/>
      <c r="H83" s="60"/>
      <c r="I83" s="60"/>
      <c r="J83" s="60"/>
      <c r="K83" s="39"/>
      <c r="L83" s="64"/>
      <c r="M83" s="54" t="s">
        <v>205</v>
      </c>
      <c r="N83" s="39"/>
      <c r="O83" s="39"/>
      <c r="P83" s="39"/>
      <c r="Q83" s="39"/>
      <c r="S83" s="54"/>
      <c r="T83" s="39"/>
      <c r="U83" s="39"/>
      <c r="V83" s="39"/>
      <c r="W83" s="39"/>
      <c r="X83" s="39"/>
      <c r="Z83" s="54"/>
      <c r="AA83" s="39"/>
      <c r="AC83" s="54"/>
      <c r="AD83" s="39"/>
      <c r="AE83" s="39"/>
      <c r="AF83" s="39"/>
      <c r="AG83" s="39"/>
      <c r="AH83" s="39"/>
      <c r="AI83" s="39"/>
      <c r="AJ83" s="39"/>
      <c r="AK83" s="39"/>
      <c r="AL83" s="39"/>
      <c r="AM83" s="46"/>
    </row>
    <row r="84" spans="1:39" s="41" customFormat="1" ht="20.100000000000001" customHeight="1" thickBot="1" x14ac:dyDescent="0.3">
      <c r="A84" s="66"/>
      <c r="B84" s="67"/>
      <c r="C84" s="67"/>
      <c r="D84" s="67"/>
      <c r="E84" s="67"/>
      <c r="F84" s="67"/>
      <c r="G84" s="67"/>
      <c r="H84" s="67"/>
      <c r="I84" s="67"/>
      <c r="J84" s="43"/>
      <c r="K84" s="57"/>
      <c r="L84" s="58"/>
      <c r="M84" s="43"/>
      <c r="N84" s="43"/>
      <c r="O84" s="43"/>
      <c r="P84" s="57"/>
      <c r="Q84" s="58"/>
      <c r="R84" s="43"/>
      <c r="S84" s="43"/>
      <c r="T84" s="43"/>
      <c r="U84" s="43"/>
      <c r="V84" s="57"/>
      <c r="W84" s="58"/>
      <c r="X84" s="43"/>
      <c r="Y84" s="43"/>
      <c r="Z84" s="43"/>
      <c r="AA84" s="43"/>
      <c r="AB84" s="57"/>
      <c r="AC84" s="58"/>
      <c r="AD84" s="43"/>
      <c r="AE84" s="43"/>
      <c r="AF84" s="43"/>
      <c r="AG84" s="43"/>
      <c r="AH84" s="43"/>
      <c r="AI84" s="43"/>
      <c r="AJ84" s="43"/>
      <c r="AK84" s="43"/>
      <c r="AL84" s="43"/>
      <c r="AM84" s="50"/>
    </row>
    <row r="85" spans="1:39" s="41" customFormat="1" ht="20.100000000000001" customHeight="1" x14ac:dyDescent="0.25">
      <c r="A85" s="251" t="s">
        <v>244</v>
      </c>
      <c r="B85" s="252"/>
      <c r="C85" s="252"/>
      <c r="D85" s="252"/>
      <c r="E85" s="252"/>
      <c r="F85" s="252"/>
      <c r="G85" s="252"/>
      <c r="H85" s="252"/>
      <c r="I85" s="252"/>
      <c r="J85" s="252"/>
      <c r="K85" s="252"/>
      <c r="L85" s="252"/>
      <c r="M85" s="252"/>
      <c r="N85" s="252"/>
      <c r="O85" s="252"/>
      <c r="P85" s="252"/>
      <c r="Q85" s="252"/>
      <c r="R85" s="252"/>
      <c r="S85" s="252"/>
      <c r="T85" s="252"/>
      <c r="U85" s="252"/>
      <c r="V85" s="252"/>
      <c r="W85" s="252"/>
      <c r="X85" s="252"/>
      <c r="Y85" s="252"/>
      <c r="Z85" s="252"/>
      <c r="AA85" s="252"/>
      <c r="AB85" s="252"/>
      <c r="AC85" s="252"/>
      <c r="AD85" s="252"/>
      <c r="AE85" s="252"/>
      <c r="AF85" s="252"/>
      <c r="AG85" s="252"/>
      <c r="AH85" s="252"/>
      <c r="AI85" s="252"/>
      <c r="AJ85" s="252"/>
      <c r="AK85" s="252"/>
      <c r="AL85" s="252"/>
      <c r="AM85" s="253"/>
    </row>
    <row r="86" spans="1:39" s="41" customFormat="1" ht="20.100000000000001" customHeight="1" x14ac:dyDescent="0.25">
      <c r="A86" s="44"/>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46"/>
    </row>
    <row r="87" spans="1:39" s="41" customFormat="1" ht="20.100000000000001" customHeight="1" x14ac:dyDescent="0.25">
      <c r="A87" s="44"/>
      <c r="B87" s="254" t="s">
        <v>206</v>
      </c>
      <c r="C87" s="254"/>
      <c r="D87" s="254"/>
      <c r="E87" s="254"/>
      <c r="F87" s="254"/>
      <c r="G87" s="254"/>
      <c r="H87" s="254"/>
      <c r="I87" s="254"/>
      <c r="J87" s="254"/>
      <c r="K87" s="254"/>
      <c r="L87" s="254"/>
      <c r="M87" s="254"/>
      <c r="N87" s="254"/>
      <c r="O87" s="254"/>
      <c r="P87" s="254"/>
      <c r="Q87" s="60"/>
      <c r="R87" s="60"/>
      <c r="S87" s="60"/>
      <c r="T87" s="254" t="s">
        <v>207</v>
      </c>
      <c r="U87" s="254"/>
      <c r="V87" s="254"/>
      <c r="W87" s="254"/>
      <c r="X87" s="254"/>
      <c r="Y87" s="254"/>
      <c r="Z87" s="254"/>
      <c r="AA87" s="254"/>
      <c r="AB87" s="254"/>
      <c r="AC87" s="254"/>
      <c r="AD87" s="254"/>
      <c r="AE87" s="254"/>
      <c r="AF87" s="254"/>
      <c r="AG87" s="254"/>
      <c r="AH87" s="254"/>
      <c r="AI87" s="60"/>
      <c r="AJ87" s="60"/>
      <c r="AK87" s="60"/>
      <c r="AL87" s="60"/>
      <c r="AM87" s="46"/>
    </row>
    <row r="88" spans="1:39" s="41" customFormat="1" ht="20.100000000000001" customHeight="1" x14ac:dyDescent="0.25">
      <c r="A88" s="44"/>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46"/>
    </row>
    <row r="89" spans="1:39" s="41" customFormat="1" ht="20.100000000000001" customHeight="1" x14ac:dyDescent="0.25">
      <c r="A89" s="44"/>
      <c r="B89" s="254" t="s">
        <v>208</v>
      </c>
      <c r="C89" s="254"/>
      <c r="D89" s="254"/>
      <c r="E89" s="254"/>
      <c r="F89" s="254"/>
      <c r="G89" s="254"/>
      <c r="H89" s="254"/>
      <c r="I89" s="254"/>
      <c r="J89" s="254"/>
      <c r="K89" s="39"/>
      <c r="L89" s="255"/>
      <c r="M89" s="255"/>
      <c r="N89" s="255"/>
      <c r="O89" s="255"/>
      <c r="P89" s="255"/>
      <c r="R89" s="54"/>
      <c r="S89" s="39"/>
      <c r="T89" s="254" t="s">
        <v>208</v>
      </c>
      <c r="U89" s="254"/>
      <c r="V89" s="254"/>
      <c r="W89" s="254"/>
      <c r="X89" s="254"/>
      <c r="Y89" s="254"/>
      <c r="Z89" s="254"/>
      <c r="AA89" s="254"/>
      <c r="AB89" s="254"/>
      <c r="AC89" s="39"/>
      <c r="AD89" s="255"/>
      <c r="AE89" s="255"/>
      <c r="AF89" s="255"/>
      <c r="AG89" s="255"/>
      <c r="AH89" s="255"/>
      <c r="AI89" s="39"/>
      <c r="AJ89" s="39"/>
      <c r="AK89" s="39"/>
      <c r="AL89" s="39"/>
      <c r="AM89" s="46"/>
    </row>
    <row r="90" spans="1:39" s="41" customFormat="1" ht="20.100000000000001" customHeight="1" x14ac:dyDescent="0.25">
      <c r="A90" s="44"/>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46"/>
    </row>
    <row r="91" spans="1:39" s="41" customFormat="1" ht="20.100000000000001" customHeight="1" x14ac:dyDescent="0.25">
      <c r="A91" s="44"/>
      <c r="B91" s="254" t="s">
        <v>209</v>
      </c>
      <c r="C91" s="254"/>
      <c r="D91" s="254"/>
      <c r="E91" s="254"/>
      <c r="F91" s="254"/>
      <c r="G91" s="254"/>
      <c r="H91" s="254"/>
      <c r="I91" s="254"/>
      <c r="J91" s="254"/>
      <c r="K91" s="39"/>
      <c r="L91" s="255"/>
      <c r="M91" s="255"/>
      <c r="N91" s="255"/>
      <c r="O91" s="255"/>
      <c r="P91" s="255"/>
      <c r="R91" s="54"/>
      <c r="S91" s="39"/>
      <c r="T91" s="254" t="s">
        <v>245</v>
      </c>
      <c r="U91" s="254"/>
      <c r="V91" s="254"/>
      <c r="W91" s="254"/>
      <c r="X91" s="254"/>
      <c r="Y91" s="254"/>
      <c r="Z91" s="254"/>
      <c r="AA91" s="254"/>
      <c r="AB91" s="254"/>
      <c r="AC91" s="60"/>
      <c r="AD91" s="254"/>
      <c r="AE91" s="254"/>
      <c r="AF91" s="254"/>
      <c r="AG91" s="254"/>
      <c r="AH91" s="254"/>
      <c r="AI91" s="39"/>
      <c r="AJ91" s="39"/>
      <c r="AK91" s="39"/>
      <c r="AL91" s="39"/>
      <c r="AM91" s="46"/>
    </row>
    <row r="92" spans="1:39" s="41" customFormat="1" ht="20.100000000000001" customHeight="1" x14ac:dyDescent="0.25">
      <c r="A92" s="44"/>
      <c r="B92" s="39"/>
      <c r="C92" s="39"/>
      <c r="D92" s="39"/>
      <c r="E92" s="39"/>
      <c r="F92" s="39"/>
      <c r="G92" s="39"/>
      <c r="H92" s="39"/>
      <c r="I92" s="39"/>
      <c r="J92" s="39"/>
      <c r="K92" s="39"/>
      <c r="L92" s="39"/>
      <c r="M92" s="39"/>
      <c r="N92" s="39"/>
      <c r="O92" s="39"/>
      <c r="P92" s="39"/>
      <c r="Q92" s="39"/>
      <c r="R92" s="39"/>
      <c r="S92" s="39"/>
      <c r="T92" s="254"/>
      <c r="U92" s="254"/>
      <c r="V92" s="254"/>
      <c r="W92" s="254"/>
      <c r="X92" s="254"/>
      <c r="Y92" s="254"/>
      <c r="Z92" s="254"/>
      <c r="AA92" s="254"/>
      <c r="AB92" s="254"/>
      <c r="AC92" s="39"/>
      <c r="AD92" s="254"/>
      <c r="AE92" s="254"/>
      <c r="AF92" s="254"/>
      <c r="AG92" s="254"/>
      <c r="AH92" s="254"/>
      <c r="AI92" s="39"/>
      <c r="AJ92" s="39"/>
      <c r="AK92" s="39"/>
      <c r="AL92" s="39"/>
      <c r="AM92" s="46"/>
    </row>
    <row r="93" spans="1:39" s="41" customFormat="1" ht="20.100000000000001" customHeight="1" x14ac:dyDescent="0.25">
      <c r="A93" s="44"/>
      <c r="B93" s="254" t="s">
        <v>210</v>
      </c>
      <c r="C93" s="254"/>
      <c r="D93" s="254"/>
      <c r="E93" s="254"/>
      <c r="F93" s="254"/>
      <c r="G93" s="254"/>
      <c r="H93" s="254"/>
      <c r="I93" s="254"/>
      <c r="J93" s="254"/>
      <c r="K93" s="39"/>
      <c r="L93" s="255"/>
      <c r="M93" s="255"/>
      <c r="N93" s="255"/>
      <c r="O93" s="255"/>
      <c r="P93" s="255"/>
      <c r="R93" s="54"/>
      <c r="S93" s="39"/>
      <c r="T93" s="254"/>
      <c r="U93" s="254"/>
      <c r="V93" s="254"/>
      <c r="W93" s="254"/>
      <c r="X93" s="254"/>
      <c r="Y93" s="254"/>
      <c r="Z93" s="254"/>
      <c r="AA93" s="254"/>
      <c r="AB93" s="254"/>
      <c r="AC93" s="39"/>
      <c r="AD93" s="254"/>
      <c r="AE93" s="254"/>
      <c r="AF93" s="254"/>
      <c r="AG93" s="254"/>
      <c r="AH93" s="254"/>
      <c r="AI93" s="39"/>
      <c r="AJ93" s="39"/>
      <c r="AK93" s="39"/>
      <c r="AL93" s="39"/>
      <c r="AM93" s="46"/>
    </row>
    <row r="94" spans="1:39" s="41" customFormat="1" ht="20.100000000000001" customHeight="1" thickBot="1" x14ac:dyDescent="0.3">
      <c r="A94" s="48"/>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50"/>
    </row>
    <row r="95" spans="1:39" s="41" customFormat="1" ht="20.100000000000001" customHeight="1" x14ac:dyDescent="0.25">
      <c r="A95" s="251" t="s">
        <v>213</v>
      </c>
      <c r="B95" s="252"/>
      <c r="C95" s="252"/>
      <c r="D95" s="252"/>
      <c r="E95" s="252"/>
      <c r="F95" s="252"/>
      <c r="G95" s="252"/>
      <c r="H95" s="252"/>
      <c r="I95" s="252"/>
      <c r="J95" s="252"/>
      <c r="K95" s="252"/>
      <c r="L95" s="252"/>
      <c r="M95" s="252"/>
      <c r="N95" s="252"/>
      <c r="O95" s="252"/>
      <c r="P95" s="252"/>
      <c r="Q95" s="252"/>
      <c r="R95" s="252"/>
      <c r="S95" s="252"/>
      <c r="T95" s="252"/>
      <c r="U95" s="252"/>
      <c r="V95" s="252"/>
      <c r="W95" s="252"/>
      <c r="X95" s="252"/>
      <c r="Y95" s="252"/>
      <c r="Z95" s="252"/>
      <c r="AA95" s="252"/>
      <c r="AB95" s="252"/>
      <c r="AC95" s="252"/>
      <c r="AD95" s="252"/>
      <c r="AE95" s="252"/>
      <c r="AF95" s="252"/>
      <c r="AG95" s="252"/>
      <c r="AH95" s="252"/>
      <c r="AI95" s="252"/>
      <c r="AJ95" s="252"/>
      <c r="AK95" s="252"/>
      <c r="AL95" s="252"/>
      <c r="AM95" s="253"/>
    </row>
    <row r="96" spans="1:39" s="41" customFormat="1" ht="20.100000000000001" customHeight="1" x14ac:dyDescent="0.25">
      <c r="A96" s="44"/>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46"/>
    </row>
    <row r="97" spans="1:39" s="41" customFormat="1" ht="20.100000000000001" customHeight="1" x14ac:dyDescent="0.25">
      <c r="A97" s="44"/>
      <c r="B97" s="254" t="s">
        <v>214</v>
      </c>
      <c r="C97" s="254"/>
      <c r="D97" s="254"/>
      <c r="E97" s="254"/>
      <c r="F97" s="254"/>
      <c r="G97" s="254"/>
      <c r="H97" s="254"/>
      <c r="I97" s="254"/>
      <c r="J97" s="254"/>
      <c r="K97" s="39"/>
      <c r="L97" s="47"/>
      <c r="M97" s="54" t="s">
        <v>68</v>
      </c>
      <c r="Q97" s="47"/>
      <c r="R97" s="54" t="s">
        <v>7</v>
      </c>
      <c r="T97" s="68"/>
      <c r="U97" s="68"/>
      <c r="V97" s="68"/>
      <c r="W97" s="47"/>
      <c r="X97" s="39" t="s">
        <v>211</v>
      </c>
      <c r="Y97" s="68"/>
      <c r="Z97" s="68"/>
      <c r="AA97" s="68"/>
      <c r="AB97" s="39"/>
      <c r="AC97" s="47"/>
      <c r="AD97" s="39" t="s">
        <v>215</v>
      </c>
      <c r="AE97" s="39"/>
      <c r="AF97" s="39"/>
      <c r="AG97" s="39"/>
      <c r="AH97" s="39"/>
      <c r="AI97" s="39"/>
      <c r="AJ97" s="39"/>
      <c r="AK97" s="39"/>
      <c r="AL97" s="39"/>
      <c r="AM97" s="46"/>
    </row>
    <row r="98" spans="1:39" s="41" customFormat="1" ht="20.100000000000001" customHeight="1" x14ac:dyDescent="0.25">
      <c r="A98" s="44"/>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46"/>
    </row>
    <row r="99" spans="1:39" s="41" customFormat="1" ht="20.100000000000001" customHeight="1" x14ac:dyDescent="0.25">
      <c r="A99" s="44"/>
      <c r="B99" s="254" t="s">
        <v>216</v>
      </c>
      <c r="C99" s="254"/>
      <c r="D99" s="254"/>
      <c r="E99" s="254"/>
      <c r="F99" s="254"/>
      <c r="G99" s="254"/>
      <c r="H99" s="254"/>
      <c r="I99" s="254"/>
      <c r="J99" s="254"/>
      <c r="K99" s="39"/>
      <c r="P99" s="39"/>
      <c r="R99" s="54"/>
      <c r="S99" s="39"/>
      <c r="T99" s="39"/>
      <c r="U99" s="39"/>
      <c r="V99" s="39"/>
      <c r="X99" s="54"/>
      <c r="Y99" s="39"/>
      <c r="Z99" s="39"/>
      <c r="AA99" s="39"/>
      <c r="AB99" s="39"/>
      <c r="AC99" s="39"/>
      <c r="AE99" s="39"/>
      <c r="AF99" s="39"/>
      <c r="AG99" s="39"/>
      <c r="AH99" s="39"/>
      <c r="AI99" s="39"/>
      <c r="AJ99" s="39"/>
      <c r="AK99" s="39"/>
      <c r="AL99" s="39"/>
      <c r="AM99" s="46"/>
    </row>
    <row r="100" spans="1:39" s="41" customFormat="1" ht="20.100000000000001" customHeight="1" x14ac:dyDescent="0.25">
      <c r="A100" s="44"/>
      <c r="B100" s="254"/>
      <c r="C100" s="254"/>
      <c r="D100" s="254"/>
      <c r="E100" s="254"/>
      <c r="F100" s="254"/>
      <c r="G100" s="254"/>
      <c r="H100" s="254"/>
      <c r="I100" s="254"/>
      <c r="J100" s="254"/>
      <c r="K100" s="39"/>
      <c r="L100" s="47"/>
      <c r="M100" s="54" t="s">
        <v>9</v>
      </c>
      <c r="Q100" s="47"/>
      <c r="R100" s="54" t="s">
        <v>217</v>
      </c>
      <c r="T100" s="68"/>
      <c r="U100" s="68"/>
      <c r="V100" s="68"/>
      <c r="W100" s="47"/>
      <c r="X100" s="54" t="s">
        <v>11</v>
      </c>
      <c r="Y100" s="68"/>
      <c r="Z100" s="68"/>
      <c r="AA100" s="68"/>
      <c r="AB100" s="39"/>
      <c r="AC100" s="47"/>
      <c r="AD100" s="41" t="s">
        <v>212</v>
      </c>
      <c r="AE100" s="39"/>
      <c r="AF100" s="39"/>
      <c r="AG100" s="39"/>
      <c r="AH100" s="39"/>
      <c r="AI100" s="39"/>
      <c r="AJ100" s="39"/>
      <c r="AK100" s="39"/>
      <c r="AL100" s="39"/>
      <c r="AM100" s="46"/>
    </row>
    <row r="101" spans="1:39" s="41" customFormat="1" ht="20.100000000000001" customHeight="1" x14ac:dyDescent="0.25">
      <c r="A101" s="44"/>
      <c r="B101" s="254"/>
      <c r="C101" s="254"/>
      <c r="D101" s="254"/>
      <c r="E101" s="254"/>
      <c r="F101" s="254"/>
      <c r="G101" s="254"/>
      <c r="H101" s="254"/>
      <c r="I101" s="254"/>
      <c r="J101" s="254"/>
      <c r="K101" s="39"/>
      <c r="P101" s="39"/>
      <c r="R101" s="54"/>
      <c r="S101" s="39"/>
      <c r="T101" s="39"/>
      <c r="U101" s="39"/>
      <c r="V101" s="39"/>
      <c r="X101" s="54"/>
      <c r="Y101" s="39"/>
      <c r="Z101" s="39"/>
      <c r="AA101" s="39"/>
      <c r="AB101" s="39"/>
      <c r="AC101" s="39"/>
      <c r="AE101" s="39"/>
      <c r="AF101" s="39"/>
      <c r="AG101" s="39"/>
      <c r="AH101" s="39"/>
      <c r="AI101" s="39"/>
      <c r="AJ101" s="39"/>
      <c r="AK101" s="39"/>
      <c r="AL101" s="39"/>
      <c r="AM101" s="46"/>
    </row>
    <row r="102" spans="1:39" s="41" customFormat="1" ht="20.100000000000001" customHeight="1" x14ac:dyDescent="0.25">
      <c r="A102" s="44"/>
      <c r="B102" s="254"/>
      <c r="C102" s="254"/>
      <c r="D102" s="254"/>
      <c r="E102" s="254"/>
      <c r="F102" s="254"/>
      <c r="G102" s="254"/>
      <c r="H102" s="254"/>
      <c r="I102" s="254"/>
      <c r="J102" s="254"/>
      <c r="K102" s="39"/>
      <c r="L102" s="47"/>
      <c r="M102" s="54" t="s">
        <v>12</v>
      </c>
      <c r="Q102" s="47"/>
      <c r="R102" s="54" t="s">
        <v>10</v>
      </c>
      <c r="T102" s="68"/>
      <c r="U102" s="68"/>
      <c r="V102" s="68"/>
      <c r="W102" s="47"/>
      <c r="X102" s="54" t="s">
        <v>13</v>
      </c>
      <c r="Y102" s="68"/>
      <c r="Z102" s="68"/>
      <c r="AA102" s="68"/>
      <c r="AB102" s="39"/>
      <c r="AC102" s="47"/>
      <c r="AD102" s="41" t="s">
        <v>218</v>
      </c>
      <c r="AE102" s="39"/>
      <c r="AF102" s="39"/>
      <c r="AG102" s="39"/>
      <c r="AH102" s="39"/>
      <c r="AI102" s="39"/>
      <c r="AJ102" s="39"/>
      <c r="AK102" s="39"/>
      <c r="AL102" s="39"/>
      <c r="AM102" s="46"/>
    </row>
    <row r="103" spans="1:39" s="41" customFormat="1" ht="20.100000000000001" customHeight="1" x14ac:dyDescent="0.25">
      <c r="A103" s="44"/>
      <c r="B103" s="254"/>
      <c r="C103" s="254"/>
      <c r="D103" s="254"/>
      <c r="E103" s="254"/>
      <c r="F103" s="254"/>
      <c r="G103" s="254"/>
      <c r="H103" s="254"/>
      <c r="I103" s="254"/>
      <c r="J103" s="254"/>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46"/>
    </row>
    <row r="104" spans="1:39" s="41" customFormat="1" ht="20.100000000000001" customHeight="1" x14ac:dyDescent="0.25">
      <c r="A104" s="44"/>
      <c r="B104" s="254"/>
      <c r="C104" s="254"/>
      <c r="D104" s="254"/>
      <c r="E104" s="254"/>
      <c r="F104" s="254"/>
      <c r="G104" s="254"/>
      <c r="H104" s="254"/>
      <c r="I104" s="254"/>
      <c r="J104" s="254"/>
      <c r="K104" s="39"/>
      <c r="L104" s="47"/>
      <c r="M104" s="54" t="s">
        <v>219</v>
      </c>
      <c r="R104" s="54"/>
      <c r="T104" s="68"/>
      <c r="U104" s="68"/>
      <c r="V104" s="68"/>
      <c r="W104" s="47"/>
      <c r="X104" s="54" t="s">
        <v>220</v>
      </c>
      <c r="Y104" s="68"/>
      <c r="Z104" s="68"/>
      <c r="AA104" s="68"/>
      <c r="AB104" s="39"/>
      <c r="AC104" s="47"/>
      <c r="AD104" s="54" t="s">
        <v>221</v>
      </c>
      <c r="AE104" s="39"/>
      <c r="AF104" s="39"/>
      <c r="AG104" s="39"/>
      <c r="AH104" s="39"/>
      <c r="AI104" s="39"/>
      <c r="AJ104" s="39"/>
      <c r="AK104" s="39"/>
      <c r="AL104" s="39"/>
      <c r="AM104" s="46"/>
    </row>
    <row r="105" spans="1:39" s="41" customFormat="1" ht="20.100000000000001" customHeight="1" x14ac:dyDescent="0.25">
      <c r="A105" s="44"/>
      <c r="B105" s="254"/>
      <c r="C105" s="254"/>
      <c r="D105" s="254"/>
      <c r="E105" s="254"/>
      <c r="F105" s="254"/>
      <c r="G105" s="254"/>
      <c r="H105" s="254"/>
      <c r="I105" s="254"/>
      <c r="J105" s="254"/>
      <c r="K105" s="39"/>
      <c r="M105" s="54"/>
      <c r="R105" s="54"/>
      <c r="T105" s="68"/>
      <c r="U105" s="68"/>
      <c r="V105" s="68"/>
      <c r="X105" s="54"/>
      <c r="Y105" s="68"/>
      <c r="Z105" s="68"/>
      <c r="AA105" s="68"/>
      <c r="AB105" s="39"/>
      <c r="AD105" s="39"/>
      <c r="AE105" s="39"/>
      <c r="AF105" s="39"/>
      <c r="AG105" s="39"/>
      <c r="AH105" s="39"/>
      <c r="AI105" s="39"/>
      <c r="AJ105" s="39"/>
      <c r="AK105" s="39"/>
      <c r="AL105" s="39"/>
      <c r="AM105" s="46"/>
    </row>
    <row r="106" spans="1:39" s="41" customFormat="1" ht="20.100000000000001" customHeight="1" x14ac:dyDescent="0.25">
      <c r="A106" s="44"/>
      <c r="B106" s="254"/>
      <c r="C106" s="254"/>
      <c r="D106" s="254"/>
      <c r="E106" s="254"/>
      <c r="F106" s="254"/>
      <c r="G106" s="254"/>
      <c r="H106" s="254"/>
      <c r="I106" s="254"/>
      <c r="J106" s="254"/>
      <c r="K106" s="39"/>
      <c r="L106" s="47"/>
      <c r="M106" s="54" t="s">
        <v>222</v>
      </c>
      <c r="P106" s="39"/>
      <c r="R106" s="54"/>
      <c r="S106" s="39"/>
      <c r="T106" s="39"/>
      <c r="U106" s="39"/>
      <c r="V106" s="39"/>
      <c r="X106" s="54"/>
      <c r="Y106" s="39"/>
      <c r="Z106" s="39"/>
      <c r="AA106" s="39"/>
      <c r="AB106" s="39"/>
      <c r="AD106" s="54"/>
      <c r="AE106" s="39"/>
      <c r="AF106" s="39"/>
      <c r="AG106" s="39"/>
      <c r="AH106" s="39"/>
      <c r="AI106" s="39"/>
      <c r="AJ106" s="39"/>
      <c r="AK106" s="39"/>
      <c r="AL106" s="39"/>
      <c r="AM106" s="46"/>
    </row>
    <row r="107" spans="1:39" s="41" customFormat="1" ht="20.100000000000001" customHeight="1" thickBot="1" x14ac:dyDescent="0.3">
      <c r="A107" s="48"/>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50"/>
    </row>
    <row r="108" spans="1:39" s="41" customFormat="1" ht="20.100000000000001" customHeight="1" x14ac:dyDescent="0.25">
      <c r="A108" s="251" t="s">
        <v>246</v>
      </c>
      <c r="B108" s="252"/>
      <c r="C108" s="252"/>
      <c r="D108" s="252"/>
      <c r="E108" s="252"/>
      <c r="F108" s="252"/>
      <c r="G108" s="252"/>
      <c r="H108" s="252"/>
      <c r="I108" s="252"/>
      <c r="J108" s="252"/>
      <c r="K108" s="252"/>
      <c r="L108" s="252"/>
      <c r="M108" s="252"/>
      <c r="N108" s="252"/>
      <c r="O108" s="252"/>
      <c r="P108" s="252"/>
      <c r="Q108" s="252"/>
      <c r="R108" s="252"/>
      <c r="S108" s="252"/>
      <c r="T108" s="252"/>
      <c r="U108" s="252"/>
      <c r="V108" s="252"/>
      <c r="W108" s="252"/>
      <c r="X108" s="252"/>
      <c r="Y108" s="252"/>
      <c r="Z108" s="252"/>
      <c r="AA108" s="252"/>
      <c r="AB108" s="252"/>
      <c r="AC108" s="252"/>
      <c r="AD108" s="252"/>
      <c r="AE108" s="252"/>
      <c r="AF108" s="252"/>
      <c r="AG108" s="252"/>
      <c r="AH108" s="252"/>
      <c r="AI108" s="252"/>
      <c r="AJ108" s="252"/>
      <c r="AK108" s="252"/>
      <c r="AL108" s="252"/>
      <c r="AM108" s="253"/>
    </row>
    <row r="109" spans="1:39" s="41" customFormat="1" ht="20.100000000000001" customHeight="1" x14ac:dyDescent="0.25">
      <c r="A109" s="44"/>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46"/>
    </row>
    <row r="110" spans="1:39" s="41" customFormat="1" ht="20.100000000000001" customHeight="1" x14ac:dyDescent="0.25">
      <c r="A110" s="44"/>
      <c r="B110" s="39"/>
      <c r="C110" s="64"/>
      <c r="D110" s="69" t="s">
        <v>223</v>
      </c>
      <c r="E110" s="52"/>
      <c r="F110" s="52"/>
      <c r="G110" s="52"/>
      <c r="H110" s="64"/>
      <c r="I110" s="54" t="s">
        <v>224</v>
      </c>
      <c r="J110" s="52"/>
      <c r="K110" s="52"/>
      <c r="L110" s="52"/>
      <c r="M110" s="52"/>
      <c r="N110" s="52"/>
      <c r="O110" s="52"/>
      <c r="P110" s="70"/>
      <c r="Q110" s="54" t="s">
        <v>225</v>
      </c>
      <c r="R110" s="52"/>
      <c r="S110" s="54"/>
      <c r="T110" s="54"/>
      <c r="U110" s="54"/>
      <c r="V110" s="54"/>
      <c r="W110" s="39"/>
      <c r="X110" s="39"/>
      <c r="Y110" s="39"/>
      <c r="Z110" s="39"/>
      <c r="AA110" s="39"/>
      <c r="AB110" s="39"/>
      <c r="AC110" s="39"/>
      <c r="AD110" s="39"/>
      <c r="AE110" s="39"/>
      <c r="AF110" s="39"/>
      <c r="AG110" s="39"/>
      <c r="AH110" s="39"/>
      <c r="AI110" s="39"/>
      <c r="AJ110" s="39"/>
      <c r="AK110" s="39"/>
      <c r="AL110" s="39"/>
      <c r="AM110" s="46"/>
    </row>
    <row r="111" spans="1:39" s="41" customFormat="1" ht="20.100000000000001" customHeight="1" x14ac:dyDescent="0.25">
      <c r="A111" s="44"/>
      <c r="B111" s="39"/>
      <c r="C111" s="68"/>
      <c r="D111" s="52"/>
      <c r="E111" s="52"/>
      <c r="F111" s="52"/>
      <c r="G111" s="52"/>
      <c r="H111" s="52"/>
      <c r="I111" s="52"/>
      <c r="J111" s="52"/>
      <c r="K111" s="52"/>
      <c r="L111" s="52"/>
      <c r="M111" s="52"/>
      <c r="N111" s="52"/>
      <c r="O111" s="52"/>
      <c r="P111" s="52"/>
      <c r="Q111" s="52"/>
      <c r="R111" s="52"/>
      <c r="S111" s="54"/>
      <c r="T111" s="54"/>
      <c r="U111" s="54"/>
      <c r="V111" s="54"/>
      <c r="W111" s="39"/>
      <c r="X111" s="39"/>
      <c r="Y111" s="39"/>
      <c r="Z111" s="39"/>
      <c r="AA111" s="39"/>
      <c r="AB111" s="39"/>
      <c r="AC111" s="39"/>
      <c r="AD111" s="39"/>
      <c r="AE111" s="39"/>
      <c r="AF111" s="39"/>
      <c r="AG111" s="39"/>
      <c r="AH111" s="39"/>
      <c r="AI111" s="39"/>
      <c r="AJ111" s="39"/>
      <c r="AK111" s="39"/>
      <c r="AL111" s="39"/>
      <c r="AM111" s="46"/>
    </row>
    <row r="112" spans="1:39" s="41" customFormat="1" ht="20.100000000000001" customHeight="1" x14ac:dyDescent="0.25">
      <c r="A112" s="44"/>
      <c r="B112" s="39"/>
      <c r="C112" s="47"/>
      <c r="D112" s="54" t="s">
        <v>226</v>
      </c>
      <c r="I112" s="54"/>
      <c r="J112" s="54"/>
      <c r="K112" s="54"/>
      <c r="L112" s="54"/>
      <c r="P112" s="47"/>
      <c r="Q112" s="54" t="s">
        <v>2</v>
      </c>
      <c r="R112" s="54"/>
      <c r="T112" s="54"/>
      <c r="U112" s="39"/>
      <c r="V112" s="39"/>
      <c r="W112" s="39"/>
      <c r="X112" s="39"/>
      <c r="Y112" s="39"/>
      <c r="Z112" s="39"/>
      <c r="AA112" s="39"/>
      <c r="AB112" s="39"/>
      <c r="AC112" s="39"/>
      <c r="AD112" s="39"/>
      <c r="AE112" s="39"/>
      <c r="AF112" s="39"/>
      <c r="AG112" s="39"/>
      <c r="AH112" s="39"/>
      <c r="AI112" s="39"/>
      <c r="AJ112" s="39"/>
      <c r="AK112" s="39"/>
      <c r="AL112" s="39"/>
      <c r="AM112" s="46"/>
    </row>
    <row r="113" spans="1:39" s="41" customFormat="1" ht="20.100000000000001" customHeight="1" x14ac:dyDescent="0.25">
      <c r="A113" s="44"/>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46"/>
    </row>
    <row r="114" spans="1:39" s="41" customFormat="1" ht="20.100000000000001" customHeight="1" x14ac:dyDescent="0.25">
      <c r="A114" s="44"/>
      <c r="B114" s="39"/>
      <c r="C114" s="47"/>
      <c r="D114" s="54" t="s">
        <v>227</v>
      </c>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46"/>
    </row>
    <row r="115" spans="1:39" s="41" customFormat="1" ht="20.100000000000001" customHeight="1" thickBot="1" x14ac:dyDescent="0.3">
      <c r="A115" s="48"/>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50"/>
    </row>
    <row r="116" spans="1:39" s="41" customFormat="1" ht="20.100000000000001" customHeight="1" x14ac:dyDescent="0.25">
      <c r="A116" s="251" t="s">
        <v>258</v>
      </c>
      <c r="B116" s="252"/>
      <c r="C116" s="252"/>
      <c r="D116" s="252"/>
      <c r="E116" s="252"/>
      <c r="F116" s="252"/>
      <c r="G116" s="252"/>
      <c r="H116" s="252"/>
      <c r="I116" s="252"/>
      <c r="J116" s="252"/>
      <c r="K116" s="252"/>
      <c r="L116" s="252"/>
      <c r="M116" s="252"/>
      <c r="N116" s="252"/>
      <c r="O116" s="252"/>
      <c r="P116" s="252"/>
      <c r="Q116" s="252"/>
      <c r="R116" s="252"/>
      <c r="S116" s="252"/>
      <c r="T116" s="252"/>
      <c r="U116" s="252"/>
      <c r="V116" s="252"/>
      <c r="W116" s="252"/>
      <c r="X116" s="252"/>
      <c r="Y116" s="252"/>
      <c r="Z116" s="252"/>
      <c r="AA116" s="252"/>
      <c r="AB116" s="252"/>
      <c r="AC116" s="252"/>
      <c r="AD116" s="252"/>
      <c r="AE116" s="252"/>
      <c r="AF116" s="252"/>
      <c r="AG116" s="252"/>
      <c r="AH116" s="252"/>
      <c r="AI116" s="252"/>
      <c r="AJ116" s="252"/>
      <c r="AK116" s="252"/>
      <c r="AL116" s="252"/>
      <c r="AM116" s="253"/>
    </row>
    <row r="117" spans="1:39" s="41" customFormat="1" ht="20.100000000000001" customHeight="1" x14ac:dyDescent="0.25">
      <c r="A117" s="44"/>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46"/>
    </row>
    <row r="118" spans="1:39" s="41" customFormat="1" ht="20.100000000000001" customHeight="1" x14ac:dyDescent="0.25">
      <c r="A118" s="44"/>
      <c r="B118" s="39"/>
      <c r="C118" s="64"/>
      <c r="D118" s="69" t="s">
        <v>223</v>
      </c>
      <c r="E118" s="52"/>
      <c r="F118" s="52"/>
      <c r="G118" s="52"/>
      <c r="H118" s="64"/>
      <c r="I118" s="54" t="s">
        <v>228</v>
      </c>
      <c r="J118" s="52"/>
      <c r="K118" s="52"/>
      <c r="L118" s="52"/>
      <c r="M118" s="52"/>
      <c r="N118" s="52"/>
      <c r="O118" s="52"/>
      <c r="P118" s="70"/>
      <c r="Q118" s="54" t="s">
        <v>229</v>
      </c>
      <c r="R118" s="52"/>
      <c r="S118" s="54"/>
      <c r="T118" s="54"/>
      <c r="U118" s="54"/>
      <c r="V118" s="54"/>
      <c r="W118" s="47"/>
      <c r="X118" s="54" t="s">
        <v>230</v>
      </c>
      <c r="Y118" s="39"/>
      <c r="Z118" s="39"/>
      <c r="AA118" s="39"/>
      <c r="AB118" s="39"/>
      <c r="AC118" s="47"/>
      <c r="AD118" s="54" t="s">
        <v>231</v>
      </c>
      <c r="AE118" s="39"/>
      <c r="AF118" s="39"/>
      <c r="AG118" s="39"/>
      <c r="AH118" s="39"/>
      <c r="AI118" s="39"/>
      <c r="AJ118" s="39"/>
      <c r="AK118" s="39"/>
      <c r="AL118" s="39"/>
      <c r="AM118" s="46"/>
    </row>
    <row r="119" spans="1:39" s="41" customFormat="1" ht="20.100000000000001" customHeight="1" x14ac:dyDescent="0.25">
      <c r="A119" s="44"/>
      <c r="B119" s="39"/>
      <c r="C119" s="68"/>
      <c r="D119" s="52"/>
      <c r="E119" s="52"/>
      <c r="F119" s="52"/>
      <c r="G119" s="52"/>
      <c r="H119" s="52"/>
      <c r="I119" s="52"/>
      <c r="J119" s="52"/>
      <c r="K119" s="52"/>
      <c r="L119" s="52"/>
      <c r="M119" s="52"/>
      <c r="N119" s="52"/>
      <c r="O119" s="52"/>
      <c r="P119" s="52"/>
      <c r="Q119" s="52"/>
      <c r="R119" s="52"/>
      <c r="S119" s="54"/>
      <c r="T119" s="54"/>
      <c r="U119" s="54"/>
      <c r="V119" s="54"/>
      <c r="W119" s="39"/>
      <c r="X119" s="39"/>
      <c r="Y119" s="39"/>
      <c r="Z119" s="39"/>
      <c r="AA119" s="39"/>
      <c r="AB119" s="39"/>
      <c r="AC119" s="39"/>
      <c r="AD119" s="39"/>
      <c r="AE119" s="39"/>
      <c r="AF119" s="39"/>
      <c r="AG119" s="39"/>
      <c r="AH119" s="39"/>
      <c r="AI119" s="39"/>
      <c r="AJ119" s="39"/>
      <c r="AK119" s="39"/>
      <c r="AL119" s="39"/>
      <c r="AM119" s="46"/>
    </row>
    <row r="120" spans="1:39" s="41" customFormat="1" ht="20.100000000000001" customHeight="1" x14ac:dyDescent="0.25">
      <c r="A120" s="44"/>
      <c r="B120" s="39"/>
      <c r="C120" s="47"/>
      <c r="D120" s="54" t="s">
        <v>232</v>
      </c>
      <c r="H120" s="47"/>
      <c r="I120" s="54" t="s">
        <v>227</v>
      </c>
      <c r="J120" s="54"/>
      <c r="K120" s="54"/>
      <c r="L120" s="54"/>
      <c r="P120" s="39"/>
      <c r="Q120" s="39"/>
      <c r="R120" s="39"/>
      <c r="T120" s="54"/>
      <c r="U120" s="39"/>
      <c r="V120" s="39"/>
      <c r="W120" s="39"/>
      <c r="X120" s="39"/>
      <c r="Y120" s="39"/>
      <c r="Z120" s="39"/>
      <c r="AA120" s="39"/>
      <c r="AB120" s="39"/>
      <c r="AC120" s="39"/>
      <c r="AD120" s="39"/>
      <c r="AE120" s="39"/>
      <c r="AF120" s="39"/>
      <c r="AG120" s="39"/>
      <c r="AH120" s="39"/>
      <c r="AI120" s="39"/>
      <c r="AJ120" s="39"/>
      <c r="AK120" s="39"/>
      <c r="AL120" s="39"/>
      <c r="AM120" s="46"/>
    </row>
    <row r="121" spans="1:39" s="41" customFormat="1" ht="20.100000000000001" customHeight="1" thickBot="1" x14ac:dyDescent="0.3">
      <c r="A121" s="48"/>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50"/>
    </row>
    <row r="122" spans="1:39" s="41" customFormat="1" ht="20.100000000000001" customHeight="1" x14ac:dyDescent="0.25">
      <c r="A122" s="251" t="s">
        <v>259</v>
      </c>
      <c r="B122" s="252"/>
      <c r="C122" s="252"/>
      <c r="D122" s="252"/>
      <c r="E122" s="252"/>
      <c r="F122" s="252"/>
      <c r="G122" s="252"/>
      <c r="H122" s="252"/>
      <c r="I122" s="252"/>
      <c r="J122" s="252"/>
      <c r="K122" s="252"/>
      <c r="L122" s="252"/>
      <c r="M122" s="252"/>
      <c r="N122" s="252"/>
      <c r="O122" s="252"/>
      <c r="P122" s="252"/>
      <c r="Q122" s="252"/>
      <c r="R122" s="252"/>
      <c r="S122" s="252"/>
      <c r="T122" s="252"/>
      <c r="U122" s="252"/>
      <c r="V122" s="252"/>
      <c r="W122" s="252"/>
      <c r="X122" s="252"/>
      <c r="Y122" s="252"/>
      <c r="Z122" s="252"/>
      <c r="AA122" s="252"/>
      <c r="AB122" s="252"/>
      <c r="AC122" s="252"/>
      <c r="AD122" s="252"/>
      <c r="AE122" s="252"/>
      <c r="AF122" s="252"/>
      <c r="AG122" s="252"/>
      <c r="AH122" s="252"/>
      <c r="AI122" s="252"/>
      <c r="AJ122" s="252"/>
      <c r="AK122" s="252"/>
      <c r="AL122" s="252"/>
      <c r="AM122" s="253"/>
    </row>
    <row r="123" spans="1:39" s="41" customFormat="1" ht="20.100000000000001" customHeight="1" x14ac:dyDescent="0.25">
      <c r="A123" s="44"/>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46"/>
    </row>
    <row r="124" spans="1:39" s="41" customFormat="1" ht="20.100000000000001" customHeight="1" x14ac:dyDescent="0.25">
      <c r="A124" s="44"/>
      <c r="B124" s="147" t="s">
        <v>233</v>
      </c>
      <c r="C124" s="147"/>
      <c r="D124" s="147"/>
      <c r="E124" s="147"/>
      <c r="F124" s="147"/>
      <c r="G124" s="147"/>
      <c r="H124" s="147"/>
      <c r="I124" s="147"/>
      <c r="J124" s="147"/>
      <c r="K124" s="147"/>
      <c r="L124" s="147"/>
      <c r="M124" s="147"/>
      <c r="N124" s="147"/>
      <c r="O124" s="147"/>
      <c r="P124" s="147"/>
      <c r="Q124" s="147"/>
      <c r="R124" s="147"/>
      <c r="S124" s="147"/>
      <c r="T124" s="147"/>
      <c r="U124" s="147"/>
      <c r="V124" s="147"/>
      <c r="W124" s="147"/>
      <c r="X124" s="147"/>
      <c r="Y124" s="147"/>
      <c r="Z124" s="147"/>
      <c r="AA124" s="147"/>
      <c r="AB124" s="147"/>
      <c r="AC124" s="147"/>
      <c r="AD124" s="147"/>
      <c r="AE124" s="147"/>
      <c r="AF124" s="39"/>
      <c r="AG124" s="64"/>
      <c r="AH124" s="54" t="s">
        <v>234</v>
      </c>
      <c r="AI124" s="39"/>
      <c r="AJ124" s="64"/>
      <c r="AK124" s="54" t="s">
        <v>235</v>
      </c>
      <c r="AL124" s="39"/>
      <c r="AM124" s="46"/>
    </row>
    <row r="125" spans="1:39" s="41" customFormat="1" ht="20.100000000000001" customHeight="1" x14ac:dyDescent="0.25">
      <c r="A125" s="44"/>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39"/>
      <c r="AD125" s="39"/>
      <c r="AE125" s="39"/>
      <c r="AF125" s="39"/>
      <c r="AG125" s="68"/>
      <c r="AH125" s="68"/>
      <c r="AI125" s="39"/>
      <c r="AJ125" s="68"/>
      <c r="AK125" s="68"/>
      <c r="AL125" s="39"/>
      <c r="AM125" s="46"/>
    </row>
    <row r="126" spans="1:39" s="39" customFormat="1" ht="20.100000000000001" customHeight="1" x14ac:dyDescent="0.25">
      <c r="A126" s="44"/>
      <c r="B126" s="278" t="s">
        <v>236</v>
      </c>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G126" s="64"/>
      <c r="AH126" s="54" t="s">
        <v>234</v>
      </c>
      <c r="AJ126" s="64"/>
      <c r="AK126" s="54" t="s">
        <v>235</v>
      </c>
      <c r="AM126" s="46"/>
    </row>
    <row r="127" spans="1:39" s="39" customFormat="1" ht="20.100000000000001" customHeight="1" x14ac:dyDescent="0.25">
      <c r="A127" s="44"/>
      <c r="B127" s="278"/>
      <c r="C127" s="278"/>
      <c r="D127" s="278"/>
      <c r="E127" s="278"/>
      <c r="F127" s="54"/>
      <c r="G127" s="68"/>
      <c r="H127" s="68"/>
      <c r="I127" s="68"/>
      <c r="J127" s="68"/>
      <c r="K127" s="68"/>
      <c r="L127" s="68"/>
      <c r="M127" s="68"/>
      <c r="N127" s="68"/>
      <c r="O127" s="68"/>
      <c r="P127" s="68"/>
      <c r="Q127" s="68"/>
      <c r="R127" s="68"/>
      <c r="S127" s="68"/>
      <c r="T127" s="68"/>
      <c r="U127" s="68"/>
      <c r="V127" s="68"/>
      <c r="W127" s="68"/>
      <c r="X127" s="68"/>
      <c r="Y127" s="68"/>
      <c r="Z127" s="68"/>
      <c r="AA127" s="68"/>
      <c r="AB127" s="68"/>
      <c r="AG127" s="68"/>
      <c r="AH127" s="68"/>
      <c r="AJ127" s="68"/>
      <c r="AK127" s="68"/>
      <c r="AM127" s="46"/>
    </row>
    <row r="128" spans="1:39" s="39" customFormat="1" ht="20.100000000000001" customHeight="1" x14ac:dyDescent="0.25">
      <c r="A128" s="44"/>
      <c r="B128" s="278" t="s">
        <v>237</v>
      </c>
      <c r="C128" s="278"/>
      <c r="D128" s="278"/>
      <c r="E128" s="278"/>
      <c r="F128" s="278"/>
      <c r="G128" s="278"/>
      <c r="H128" s="278"/>
      <c r="I128" s="278"/>
      <c r="J128" s="278"/>
      <c r="K128" s="278"/>
      <c r="L128" s="278"/>
      <c r="M128" s="278"/>
      <c r="N128" s="278"/>
      <c r="O128" s="278"/>
      <c r="P128" s="278"/>
      <c r="Q128" s="278"/>
      <c r="R128" s="278"/>
      <c r="S128" s="278"/>
      <c r="T128" s="278"/>
      <c r="U128" s="278"/>
      <c r="V128" s="278"/>
      <c r="W128" s="278"/>
      <c r="X128" s="278"/>
      <c r="Y128" s="278"/>
      <c r="Z128" s="278"/>
      <c r="AA128" s="278"/>
      <c r="AB128" s="278"/>
      <c r="AG128" s="64"/>
      <c r="AH128" s="54" t="s">
        <v>234</v>
      </c>
      <c r="AJ128" s="64"/>
      <c r="AK128" s="54" t="s">
        <v>235</v>
      </c>
      <c r="AM128" s="46"/>
    </row>
    <row r="129" spans="1:39" s="39" customFormat="1" ht="20.100000000000001" customHeight="1" x14ac:dyDescent="0.25">
      <c r="A129" s="44"/>
      <c r="B129" s="278"/>
      <c r="C129" s="278"/>
      <c r="D129" s="278"/>
      <c r="E129" s="278"/>
      <c r="F129" s="54"/>
      <c r="G129" s="68"/>
      <c r="H129" s="68"/>
      <c r="I129" s="68"/>
      <c r="J129" s="68"/>
      <c r="K129" s="68"/>
      <c r="L129" s="68"/>
      <c r="M129" s="68"/>
      <c r="N129" s="68"/>
      <c r="O129" s="68"/>
      <c r="P129" s="68"/>
      <c r="Q129" s="68"/>
      <c r="R129" s="68"/>
      <c r="S129" s="68"/>
      <c r="T129" s="68"/>
      <c r="U129" s="68"/>
      <c r="V129" s="68"/>
      <c r="W129" s="68"/>
      <c r="X129" s="68"/>
      <c r="Y129" s="68"/>
      <c r="Z129" s="68"/>
      <c r="AA129" s="68"/>
      <c r="AB129" s="68"/>
      <c r="AG129" s="68"/>
      <c r="AH129" s="68"/>
      <c r="AJ129" s="68"/>
      <c r="AK129" s="68"/>
      <c r="AM129" s="46"/>
    </row>
    <row r="130" spans="1:39" s="39" customFormat="1" ht="20.100000000000001" customHeight="1" x14ac:dyDescent="0.25">
      <c r="A130" s="44"/>
      <c r="B130" s="278" t="s">
        <v>238</v>
      </c>
      <c r="C130" s="278"/>
      <c r="D130" s="278"/>
      <c r="E130" s="278"/>
      <c r="F130" s="278"/>
      <c r="G130" s="278"/>
      <c r="H130" s="278"/>
      <c r="I130" s="278"/>
      <c r="J130" s="278"/>
      <c r="K130" s="278"/>
      <c r="L130" s="278"/>
      <c r="M130" s="278"/>
      <c r="N130" s="278"/>
      <c r="O130" s="278"/>
      <c r="P130" s="278"/>
      <c r="Q130" s="278"/>
      <c r="R130" s="278"/>
      <c r="S130" s="278"/>
      <c r="T130" s="278"/>
      <c r="U130" s="278"/>
      <c r="V130" s="278"/>
      <c r="W130" s="278"/>
      <c r="X130" s="278"/>
      <c r="Y130" s="278"/>
      <c r="Z130" s="278"/>
      <c r="AA130" s="278"/>
      <c r="AB130" s="278"/>
      <c r="AG130" s="64"/>
      <c r="AH130" s="54" t="s">
        <v>234</v>
      </c>
      <c r="AJ130" s="64"/>
      <c r="AK130" s="54" t="s">
        <v>235</v>
      </c>
      <c r="AM130" s="46"/>
    </row>
    <row r="131" spans="1:39" s="39" customFormat="1" ht="20.100000000000001" customHeight="1" x14ac:dyDescent="0.25">
      <c r="A131" s="44"/>
      <c r="B131" s="278"/>
      <c r="C131" s="278"/>
      <c r="D131" s="278"/>
      <c r="E131" s="278"/>
      <c r="F131" s="54"/>
      <c r="G131" s="68"/>
      <c r="H131" s="68"/>
      <c r="I131" s="68"/>
      <c r="J131" s="68"/>
      <c r="K131" s="68"/>
      <c r="L131" s="68"/>
      <c r="M131" s="68"/>
      <c r="N131" s="68"/>
      <c r="O131" s="68"/>
      <c r="P131" s="68"/>
      <c r="Q131" s="68"/>
      <c r="R131" s="68"/>
      <c r="S131" s="68"/>
      <c r="T131" s="68"/>
      <c r="U131" s="68"/>
      <c r="V131" s="68"/>
      <c r="W131" s="68"/>
      <c r="X131" s="68"/>
      <c r="Y131" s="68"/>
      <c r="Z131" s="68"/>
      <c r="AA131" s="68"/>
      <c r="AB131" s="68"/>
      <c r="AG131" s="68"/>
      <c r="AH131" s="68"/>
      <c r="AJ131" s="68"/>
      <c r="AK131" s="68"/>
      <c r="AM131" s="46"/>
    </row>
    <row r="132" spans="1:39" s="39" customFormat="1" ht="20.100000000000001" customHeight="1" x14ac:dyDescent="0.25">
      <c r="A132" s="44"/>
      <c r="B132" s="147" t="s">
        <v>239</v>
      </c>
      <c r="C132" s="147"/>
      <c r="D132" s="147"/>
      <c r="E132" s="147"/>
      <c r="F132" s="147"/>
      <c r="G132" s="147"/>
      <c r="H132" s="147"/>
      <c r="I132" s="147"/>
      <c r="J132" s="147"/>
      <c r="K132" s="147"/>
      <c r="L132" s="147"/>
      <c r="M132" s="147"/>
      <c r="N132" s="147"/>
      <c r="O132" s="147"/>
      <c r="P132" s="147"/>
      <c r="Q132" s="147"/>
      <c r="R132" s="147"/>
      <c r="S132" s="147"/>
      <c r="T132" s="147"/>
      <c r="U132" s="147"/>
      <c r="V132" s="147"/>
      <c r="W132" s="147"/>
      <c r="X132" s="147"/>
      <c r="Y132" s="147"/>
      <c r="Z132" s="147"/>
      <c r="AA132" s="147"/>
      <c r="AB132" s="147"/>
      <c r="AC132" s="147"/>
      <c r="AD132" s="147"/>
      <c r="AE132" s="147"/>
      <c r="AG132" s="64"/>
      <c r="AH132" s="54" t="s">
        <v>234</v>
      </c>
      <c r="AJ132" s="64"/>
      <c r="AK132" s="54" t="s">
        <v>235</v>
      </c>
      <c r="AM132" s="46"/>
    </row>
    <row r="133" spans="1:39" s="39" customFormat="1" ht="20.100000000000001" customHeight="1" x14ac:dyDescent="0.25">
      <c r="A133" s="44"/>
      <c r="AM133" s="46"/>
    </row>
    <row r="134" spans="1:39" s="39" customFormat="1" ht="20.100000000000001" customHeight="1" x14ac:dyDescent="0.25">
      <c r="A134" s="44"/>
      <c r="B134" s="147" t="s">
        <v>240</v>
      </c>
      <c r="C134" s="147"/>
      <c r="D134" s="147"/>
      <c r="E134" s="147"/>
      <c r="F134" s="147"/>
      <c r="G134" s="147"/>
      <c r="H134" s="147"/>
      <c r="I134" s="147"/>
      <c r="J134" s="147"/>
      <c r="K134" s="147"/>
      <c r="L134" s="147"/>
      <c r="M134" s="147"/>
      <c r="N134" s="147"/>
      <c r="O134" s="147"/>
      <c r="P134" s="147"/>
      <c r="Q134" s="147"/>
      <c r="R134" s="147"/>
      <c r="S134" s="147"/>
      <c r="T134" s="147"/>
      <c r="U134" s="147"/>
      <c r="V134" s="147"/>
      <c r="W134" s="147"/>
      <c r="X134" s="147"/>
      <c r="Y134" s="147"/>
      <c r="Z134" s="147"/>
      <c r="AA134" s="147"/>
      <c r="AB134" s="147"/>
      <c r="AC134" s="147"/>
      <c r="AD134" s="147"/>
      <c r="AE134" s="147"/>
      <c r="AM134" s="46"/>
    </row>
    <row r="135" spans="1:39" s="39" customFormat="1" ht="20.100000000000001" customHeight="1" x14ac:dyDescent="0.25">
      <c r="A135" s="44"/>
      <c r="B135" s="277"/>
      <c r="C135" s="277"/>
      <c r="D135" s="277"/>
      <c r="E135" s="277"/>
      <c r="F135" s="277"/>
      <c r="G135" s="277"/>
      <c r="H135" s="277"/>
      <c r="I135" s="277"/>
      <c r="J135" s="277"/>
      <c r="K135" s="277"/>
      <c r="L135" s="277"/>
      <c r="M135" s="277"/>
      <c r="N135" s="277"/>
      <c r="O135" s="277"/>
      <c r="P135" s="277"/>
      <c r="Q135" s="277"/>
      <c r="R135" s="277"/>
      <c r="S135" s="277"/>
      <c r="T135" s="277"/>
      <c r="U135" s="277"/>
      <c r="V135" s="277"/>
      <c r="W135" s="277"/>
      <c r="X135" s="277"/>
      <c r="Y135" s="277"/>
      <c r="Z135" s="277"/>
      <c r="AA135" s="277"/>
      <c r="AB135" s="277"/>
      <c r="AC135" s="277"/>
      <c r="AD135" s="277"/>
      <c r="AE135" s="277"/>
      <c r="AF135" s="277"/>
      <c r="AG135" s="277"/>
      <c r="AH135" s="277"/>
      <c r="AI135" s="277"/>
      <c r="AJ135" s="277"/>
      <c r="AK135" s="277"/>
      <c r="AM135" s="46"/>
    </row>
    <row r="136" spans="1:39" s="39" customFormat="1" ht="20.100000000000001" customHeight="1" x14ac:dyDescent="0.25">
      <c r="A136" s="44"/>
      <c r="B136" s="277"/>
      <c r="C136" s="277"/>
      <c r="D136" s="277"/>
      <c r="E136" s="277"/>
      <c r="F136" s="277"/>
      <c r="G136" s="277"/>
      <c r="H136" s="277"/>
      <c r="I136" s="277"/>
      <c r="J136" s="277"/>
      <c r="K136" s="277"/>
      <c r="L136" s="277"/>
      <c r="M136" s="277"/>
      <c r="N136" s="277"/>
      <c r="O136" s="277"/>
      <c r="P136" s="277"/>
      <c r="Q136" s="277"/>
      <c r="R136" s="277"/>
      <c r="S136" s="277"/>
      <c r="T136" s="277"/>
      <c r="U136" s="277"/>
      <c r="V136" s="277"/>
      <c r="W136" s="277"/>
      <c r="X136" s="277"/>
      <c r="Y136" s="277"/>
      <c r="Z136" s="277"/>
      <c r="AA136" s="277"/>
      <c r="AB136" s="277"/>
      <c r="AC136" s="277"/>
      <c r="AD136" s="277"/>
      <c r="AE136" s="277"/>
      <c r="AF136" s="277"/>
      <c r="AG136" s="277"/>
      <c r="AH136" s="277"/>
      <c r="AI136" s="277"/>
      <c r="AJ136" s="277"/>
      <c r="AK136" s="277"/>
      <c r="AM136" s="46"/>
    </row>
    <row r="137" spans="1:39" s="41" customFormat="1" ht="20.100000000000001" customHeight="1" x14ac:dyDescent="0.25">
      <c r="A137" s="44"/>
      <c r="B137" s="291"/>
      <c r="C137" s="291"/>
      <c r="D137" s="291"/>
      <c r="E137" s="291"/>
      <c r="F137" s="291"/>
      <c r="G137" s="291"/>
      <c r="H137" s="291"/>
      <c r="I137" s="291"/>
      <c r="J137" s="291"/>
      <c r="K137" s="291"/>
      <c r="L137" s="291"/>
      <c r="M137" s="291"/>
      <c r="N137" s="291"/>
      <c r="O137" s="291"/>
      <c r="P137" s="291"/>
      <c r="Q137" s="291"/>
      <c r="R137" s="291"/>
      <c r="S137" s="291"/>
      <c r="T137" s="291"/>
      <c r="U137" s="291"/>
      <c r="V137" s="291"/>
      <c r="W137" s="291"/>
      <c r="X137" s="291"/>
      <c r="Y137" s="291"/>
      <c r="Z137" s="291"/>
      <c r="AA137" s="291"/>
      <c r="AB137" s="291"/>
      <c r="AC137" s="291"/>
      <c r="AD137" s="291"/>
      <c r="AE137" s="291"/>
      <c r="AF137" s="291"/>
      <c r="AG137" s="291"/>
      <c r="AH137" s="291"/>
      <c r="AI137" s="291"/>
      <c r="AJ137" s="291"/>
      <c r="AK137" s="291"/>
      <c r="AL137" s="39"/>
      <c r="AM137" s="46"/>
    </row>
    <row r="138" spans="1:39" s="41" customFormat="1" ht="20.100000000000001" customHeight="1" thickBot="1" x14ac:dyDescent="0.3">
      <c r="A138" s="48"/>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50"/>
    </row>
    <row r="139" spans="1:39" s="41" customFormat="1" ht="20.100000000000001" customHeight="1" thickBot="1" x14ac:dyDescent="0.3">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row>
    <row r="140" spans="1:39" s="41" customFormat="1" ht="20.100000000000001" customHeight="1" thickBot="1" x14ac:dyDescent="0.3">
      <c r="A140" s="279" t="s">
        <v>241</v>
      </c>
      <c r="B140" s="280"/>
      <c r="C140" s="280"/>
      <c r="D140" s="280"/>
      <c r="E140" s="280"/>
      <c r="F140" s="280"/>
      <c r="G140" s="280"/>
      <c r="H140" s="280"/>
      <c r="I140" s="280"/>
      <c r="J140" s="280"/>
      <c r="K140" s="281"/>
      <c r="L140" s="282"/>
      <c r="M140" s="283"/>
      <c r="N140" s="283"/>
      <c r="O140" s="283"/>
      <c r="P140" s="283"/>
      <c r="Q140" s="283"/>
      <c r="R140" s="283"/>
      <c r="S140" s="283"/>
      <c r="T140" s="283"/>
      <c r="U140" s="283"/>
      <c r="V140" s="283"/>
      <c r="W140" s="283"/>
      <c r="X140" s="283"/>
      <c r="Y140" s="283"/>
      <c r="Z140" s="283"/>
      <c r="AA140" s="283"/>
      <c r="AB140" s="283"/>
      <c r="AC140" s="283"/>
      <c r="AD140" s="283"/>
      <c r="AE140" s="283"/>
      <c r="AF140" s="283"/>
      <c r="AG140" s="283"/>
      <c r="AH140" s="283"/>
      <c r="AI140" s="283"/>
      <c r="AJ140" s="283"/>
      <c r="AK140" s="283"/>
      <c r="AL140" s="283"/>
      <c r="AM140" s="284"/>
    </row>
    <row r="141" spans="1:39" s="41" customFormat="1" ht="20.100000000000001" customHeight="1" thickBot="1" x14ac:dyDescent="0.3">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row>
    <row r="142" spans="1:39" s="41" customFormat="1" ht="20.100000000000001" customHeight="1" thickBot="1" x14ac:dyDescent="0.3">
      <c r="A142" s="285" t="s">
        <v>260</v>
      </c>
      <c r="B142" s="286"/>
      <c r="C142" s="286"/>
      <c r="D142" s="286"/>
      <c r="E142" s="286"/>
      <c r="F142" s="286"/>
      <c r="G142" s="286"/>
      <c r="H142" s="286"/>
      <c r="I142" s="286"/>
      <c r="J142" s="286"/>
      <c r="K142" s="286"/>
      <c r="L142" s="286"/>
      <c r="M142" s="286"/>
      <c r="N142" s="286"/>
      <c r="O142" s="286"/>
      <c r="P142" s="286"/>
      <c r="Q142" s="287"/>
      <c r="R142" s="288" t="s">
        <v>261</v>
      </c>
      <c r="S142" s="289"/>
      <c r="T142" s="289"/>
      <c r="U142" s="289"/>
      <c r="V142" s="289"/>
      <c r="W142" s="289"/>
      <c r="X142" s="289"/>
      <c r="Y142" s="289"/>
      <c r="Z142" s="289"/>
      <c r="AA142" s="289"/>
      <c r="AB142" s="289"/>
      <c r="AC142" s="289"/>
      <c r="AD142" s="289"/>
      <c r="AE142" s="289"/>
      <c r="AF142" s="289"/>
      <c r="AG142" s="289"/>
      <c r="AH142" s="289"/>
      <c r="AI142" s="289"/>
      <c r="AJ142" s="289"/>
      <c r="AK142" s="289"/>
      <c r="AL142" s="289"/>
      <c r="AM142" s="290"/>
    </row>
    <row r="144" spans="1:39" ht="20.100000000000001" customHeight="1" x14ac:dyDescent="0.25">
      <c r="A144" s="277" t="s">
        <v>282</v>
      </c>
      <c r="B144" s="277"/>
      <c r="C144" s="277"/>
      <c r="D144" s="277"/>
      <c r="E144" s="277"/>
      <c r="F144" s="277"/>
      <c r="G144" s="277"/>
      <c r="H144" s="277"/>
      <c r="I144" s="277"/>
      <c r="J144" s="277"/>
      <c r="K144" s="277"/>
      <c r="L144" s="277"/>
      <c r="M144" s="277"/>
      <c r="N144" s="277"/>
      <c r="O144" s="277"/>
      <c r="P144" s="277"/>
      <c r="Q144" s="277"/>
      <c r="R144" s="277"/>
      <c r="S144" s="277"/>
      <c r="T144" s="277"/>
      <c r="U144" s="277"/>
      <c r="V144" s="277"/>
      <c r="W144" s="277"/>
      <c r="X144" s="277"/>
      <c r="Y144" s="277"/>
      <c r="Z144" s="277"/>
      <c r="AA144" s="277"/>
      <c r="AB144" s="277"/>
      <c r="AC144" s="277"/>
      <c r="AD144" s="277"/>
      <c r="AE144" s="277"/>
      <c r="AF144" s="277"/>
      <c r="AG144" s="277"/>
      <c r="AH144" s="277"/>
      <c r="AI144" s="277"/>
      <c r="AJ144" s="277"/>
      <c r="AK144" s="277"/>
      <c r="AL144" s="277"/>
      <c r="AM144" s="277"/>
    </row>
  </sheetData>
  <mergeCells count="89">
    <mergeCell ref="A144:AM144"/>
    <mergeCell ref="A122:AM122"/>
    <mergeCell ref="B124:AE124"/>
    <mergeCell ref="B126:AB126"/>
    <mergeCell ref="B127:E127"/>
    <mergeCell ref="B128:AB128"/>
    <mergeCell ref="A140:K140"/>
    <mergeCell ref="L140:AM140"/>
    <mergeCell ref="A142:Q142"/>
    <mergeCell ref="R142:AM142"/>
    <mergeCell ref="B129:E129"/>
    <mergeCell ref="B130:AB130"/>
    <mergeCell ref="B131:E131"/>
    <mergeCell ref="B132:AE132"/>
    <mergeCell ref="B134:AE134"/>
    <mergeCell ref="B135:AK137"/>
    <mergeCell ref="A1:AM1"/>
    <mergeCell ref="A2:AM2"/>
    <mergeCell ref="A4:AM4"/>
    <mergeCell ref="A6:AM6"/>
    <mergeCell ref="A19:AM19"/>
    <mergeCell ref="B9:K9"/>
    <mergeCell ref="L9:AL9"/>
    <mergeCell ref="B10:K10"/>
    <mergeCell ref="L10:AL10"/>
    <mergeCell ref="B8:K8"/>
    <mergeCell ref="L8:AL8"/>
    <mergeCell ref="B13:K13"/>
    <mergeCell ref="L13:AL13"/>
    <mergeCell ref="B14:K14"/>
    <mergeCell ref="L14:AL14"/>
    <mergeCell ref="B11:K11"/>
    <mergeCell ref="L11:AL11"/>
    <mergeCell ref="B12:K12"/>
    <mergeCell ref="L12:AL12"/>
    <mergeCell ref="B21:K21"/>
    <mergeCell ref="L21:AL21"/>
    <mergeCell ref="B15:K15"/>
    <mergeCell ref="L15:AL15"/>
    <mergeCell ref="B16:K16"/>
    <mergeCell ref="L16:AL16"/>
    <mergeCell ref="B27:N27"/>
    <mergeCell ref="V27:AL27"/>
    <mergeCell ref="B22:K22"/>
    <mergeCell ref="B23:K23"/>
    <mergeCell ref="L22:AL22"/>
    <mergeCell ref="L23:AL23"/>
    <mergeCell ref="A25:AM25"/>
    <mergeCell ref="B35:H35"/>
    <mergeCell ref="A37:AM37"/>
    <mergeCell ref="A43:AM43"/>
    <mergeCell ref="A49:AM49"/>
    <mergeCell ref="B61:J61"/>
    <mergeCell ref="X51:AA51"/>
    <mergeCell ref="AC51:AI51"/>
    <mergeCell ref="AJ51:AL51"/>
    <mergeCell ref="B63:J63"/>
    <mergeCell ref="B51:J51"/>
    <mergeCell ref="B53:J53"/>
    <mergeCell ref="K51:O51"/>
    <mergeCell ref="Q51:W51"/>
    <mergeCell ref="B55:J55"/>
    <mergeCell ref="B57:J57"/>
    <mergeCell ref="B59:J59"/>
    <mergeCell ref="B77:J77"/>
    <mergeCell ref="B69:J69"/>
    <mergeCell ref="A65:AM65"/>
    <mergeCell ref="B67:J67"/>
    <mergeCell ref="A73:AM73"/>
    <mergeCell ref="B75:J75"/>
    <mergeCell ref="B91:J91"/>
    <mergeCell ref="L91:P91"/>
    <mergeCell ref="A79:AM79"/>
    <mergeCell ref="A85:AM85"/>
    <mergeCell ref="B87:P87"/>
    <mergeCell ref="T87:AH87"/>
    <mergeCell ref="B89:J89"/>
    <mergeCell ref="L89:P89"/>
    <mergeCell ref="T89:AB89"/>
    <mergeCell ref="AD89:AH89"/>
    <mergeCell ref="T91:AB93"/>
    <mergeCell ref="B93:J93"/>
    <mergeCell ref="L93:P93"/>
    <mergeCell ref="AD91:AH93"/>
    <mergeCell ref="A95:AM95"/>
    <mergeCell ref="B97:J97"/>
    <mergeCell ref="B99:J106"/>
    <mergeCell ref="A108:AM108"/>
    <mergeCell ref="A116:AM116"/>
  </mergeCells>
  <conditionalFormatting sqref="G129:AB129 AG129:AH129 AJ129:AK129">
    <cfRule type="expression" dxfId="1" priority="2" stopIfTrue="1">
      <formula>IF(AND(#REF!="",#REF!="SIM"),TRUE,FALSE)</formula>
    </cfRule>
  </conditionalFormatting>
  <conditionalFormatting sqref="AG125:AH125 AJ125:AK125 G127:AB127 AG127:AH127 AJ127:AK127 G131:AB131 AG131:AH131 AJ131:AK131">
    <cfRule type="expression" dxfId="0" priority="1" stopIfTrue="1">
      <formula>IF(AND(#REF!="",#REF!="NÃO"),TRUE,FALSE)</formula>
    </cfRule>
  </conditionalFormatting>
  <dataValidations disablePrompts="1" count="2">
    <dataValidation type="date" allowBlank="1" showInputMessage="1" showErrorMessage="1" errorTitle="ATENÇÃO" error="Este campo aceita somente datas no formato DD/MM/AAAA._x000a_Não são aceitas datas futuras e datas anteriores a 180 dias." sqref="J38 J44" xr:uid="{FC63ADD1-BC37-496C-8333-8740A5422D90}">
      <formula1>TODAY()-180</formula1>
      <formula2>TODAY()+7</formula2>
    </dataValidation>
    <dataValidation type="whole" operator="greaterThanOrEqual" allowBlank="1" showInputMessage="1" showErrorMessage="1" errorTitle="ATENÇÃO" error="Campo aceita somente números." sqref="AC97 AC100 AC102 AC105" xr:uid="{AD5293D9-A107-4469-81FF-5F87D33C0615}">
      <formula1>0</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TERRENO E BENFEITORIAS</vt:lpstr>
      <vt:lpstr>VANTAGEM DA COISA FEITA</vt:lpstr>
      <vt:lpstr>DEPRECIAÇÃO</vt:lpstr>
      <vt:lpstr>LAUDO DE VISTORIA</vt:lpstr>
      <vt:lpstr>DEPRECIAÇÃO!Area_de_impressao</vt:lpstr>
      <vt:lpstr>'LAUDO DE VISTORIA'!Area_de_impressao</vt:lpstr>
      <vt:lpstr>'TERRENO E BENFEITORIAS'!Area_de_impressao</vt:lpstr>
      <vt:lpstr>'VANTAGEM DA COISA FEITA'!Area_de_impressao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Jesus de Oliveira</dc:creator>
  <cp:lastModifiedBy>Samuel Jesus de Oliveira</cp:lastModifiedBy>
  <cp:lastPrinted>2024-06-30T21:48:58Z</cp:lastPrinted>
  <dcterms:created xsi:type="dcterms:W3CDTF">2024-06-02T16:00:59Z</dcterms:created>
  <dcterms:modified xsi:type="dcterms:W3CDTF">2024-10-28T13:59:04Z</dcterms:modified>
</cp:coreProperties>
</file>