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Projeto TJ MA - Segunda turma/PLANILHAS  NOVAS - Assuntos diversos/CUSTO UNITÁRIO LOCAL/"/>
    </mc:Choice>
  </mc:AlternateContent>
  <xr:revisionPtr revIDLastSave="1426" documentId="8_{556C1641-AC4D-4F4C-986E-863C9D84E476}" xr6:coauthVersionLast="47" xr6:coauthVersionMax="47" xr10:uidLastSave="{5893DD67-3910-45A0-9302-9C5EC5EAEEC4}"/>
  <bookViews>
    <workbookView xWindow="-120" yWindow="-120" windowWidth="29040" windowHeight="15720" tabRatio="901" xr2:uid="{C3A22E73-4D52-4DA0-A647-BA53DE8F5818}"/>
  </bookViews>
  <sheets>
    <sheet name="AVALIAÇÃO DO TERRENO" sheetId="6" r:id="rId1"/>
    <sheet name="IMÓVEIS DE REFERÊNCIA" sheetId="4" r:id="rId2"/>
    <sheet name="VANTAGEM DA COISA FEITA" sheetId="5" r:id="rId3"/>
  </sheets>
  <definedNames>
    <definedName name="_xlnm._FilterDatabase" localSheetId="1" hidden="1">'IMÓVEIS DE REFERÊNCIA'!#REF!</definedName>
    <definedName name="_xlnm.Print_Area" localSheetId="0">'AVALIAÇÃO DO TERRENO'!$A$1:$R$331</definedName>
    <definedName name="_xlnm.Print_Area" localSheetId="1">'IMÓVEIS DE REFERÊNCIA'!$A$1:$H$343</definedName>
    <definedName name="_xlnm.Print_Area" localSheetId="2">'VANTAGEM DA COISA FEITA'!$A$1:$R$84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4" i="6" l="1"/>
  <c r="N194" i="6"/>
  <c r="M194" i="6"/>
  <c r="L194" i="6"/>
  <c r="K194" i="6"/>
  <c r="J194" i="6"/>
  <c r="I194" i="6"/>
  <c r="Y325" i="6"/>
  <c r="Y324" i="6"/>
  <c r="Y323" i="6"/>
  <c r="X299" i="6"/>
  <c r="G288" i="6"/>
  <c r="Q287" i="6"/>
  <c r="G287" i="6"/>
  <c r="Q286" i="6" a="1"/>
  <c r="Q286" i="6" s="1"/>
  <c r="X289" i="6" s="1"/>
  <c r="X290" i="6" s="1"/>
  <c r="Q288" i="6" s="1"/>
  <c r="G286" i="6"/>
  <c r="X260" i="6"/>
  <c r="G252" i="6"/>
  <c r="G251" i="6"/>
  <c r="Q250" i="6"/>
  <c r="G250" i="6"/>
  <c r="G219" i="6"/>
  <c r="G218" i="6"/>
  <c r="G217" i="6"/>
  <c r="O202" i="6"/>
  <c r="N202" i="6"/>
  <c r="M202" i="6"/>
  <c r="L202" i="6"/>
  <c r="K202" i="6"/>
  <c r="J202" i="6"/>
  <c r="I202" i="6"/>
  <c r="O201" i="6"/>
  <c r="N201" i="6"/>
  <c r="M201" i="6"/>
  <c r="L201" i="6"/>
  <c r="K201" i="6"/>
  <c r="J201" i="6"/>
  <c r="I201" i="6"/>
  <c r="O200" i="6"/>
  <c r="N200" i="6"/>
  <c r="M200" i="6"/>
  <c r="L200" i="6"/>
  <c r="K200" i="6"/>
  <c r="J200" i="6"/>
  <c r="I200" i="6"/>
  <c r="B199" i="6"/>
  <c r="B204" i="6" s="1"/>
  <c r="J188" i="6"/>
  <c r="M186" i="6"/>
  <c r="P186" i="6" s="1"/>
  <c r="M185" i="6"/>
  <c r="P185" i="6" s="1"/>
  <c r="M184" i="6"/>
  <c r="P184" i="6" s="1"/>
  <c r="M183" i="6"/>
  <c r="P183" i="6" s="1"/>
  <c r="M182" i="6"/>
  <c r="P182" i="6" s="1"/>
  <c r="M181" i="6"/>
  <c r="M180" i="6"/>
  <c r="J97" i="6"/>
  <c r="J96" i="6"/>
  <c r="J95" i="6"/>
  <c r="B94" i="6"/>
  <c r="J92" i="6"/>
  <c r="L97" i="6" s="1"/>
  <c r="N71" i="6"/>
  <c r="H71" i="6"/>
  <c r="N70" i="6"/>
  <c r="H70" i="6"/>
  <c r="N69" i="6"/>
  <c r="H69" i="6"/>
  <c r="P201" i="6" l="1"/>
  <c r="E206" i="6" s="1"/>
  <c r="M188" i="6"/>
  <c r="L96" i="6"/>
  <c r="N96" i="6" s="1"/>
  <c r="P70" i="6"/>
  <c r="B96" i="6" s="1"/>
  <c r="P69" i="6"/>
  <c r="P71" i="6"/>
  <c r="B97" i="6" s="1"/>
  <c r="N97" i="6"/>
  <c r="P202" i="6"/>
  <c r="E207" i="6" s="1"/>
  <c r="P200" i="6"/>
  <c r="E205" i="6" s="1"/>
  <c r="L95" i="6"/>
  <c r="N95" i="6" s="1"/>
  <c r="P180" i="6"/>
  <c r="P181" i="6"/>
  <c r="P96" i="6" l="1"/>
  <c r="B201" i="6" s="1"/>
  <c r="B206" i="6" s="1"/>
  <c r="P97" i="6"/>
  <c r="B202" i="6" s="1"/>
  <c r="B207" i="6" s="1"/>
  <c r="P74" i="6"/>
  <c r="P73" i="6"/>
  <c r="B95" i="6"/>
  <c r="P95" i="6" s="1"/>
  <c r="B200" i="6" s="1"/>
  <c r="B205" i="6" s="1"/>
  <c r="P194" i="6"/>
  <c r="H205" i="6" s="1"/>
  <c r="K205" i="6" s="1"/>
  <c r="P190" i="6"/>
  <c r="H207" i="6" l="1"/>
  <c r="K207" i="6" s="1"/>
  <c r="N207" i="6" s="1"/>
  <c r="B219" i="6" s="1"/>
  <c r="H206" i="6"/>
  <c r="K206" i="6" s="1"/>
  <c r="N206" i="6" s="1"/>
  <c r="B287" i="6" s="1"/>
  <c r="P99" i="6"/>
  <c r="P100" i="6"/>
  <c r="P75" i="6"/>
  <c r="N205" i="6"/>
  <c r="B251" i="6" l="1"/>
  <c r="B218" i="6"/>
  <c r="P101" i="6"/>
  <c r="B252" i="6"/>
  <c r="B288" i="6"/>
  <c r="P209" i="6"/>
  <c r="B217" i="6"/>
  <c r="B286" i="6"/>
  <c r="B250" i="6"/>
  <c r="P210" i="6"/>
  <c r="P211" i="6" l="1"/>
  <c r="P252" i="6"/>
  <c r="P258" i="6"/>
  <c r="P253" i="6"/>
  <c r="P257" i="6"/>
  <c r="P297" i="6"/>
  <c r="P292" i="6"/>
  <c r="P291" i="6"/>
  <c r="P296" i="6"/>
  <c r="P227" i="6"/>
  <c r="P218" i="6"/>
  <c r="P222" i="6"/>
  <c r="P221" i="6"/>
  <c r="P228" i="6" l="1"/>
  <c r="O323" i="6" s="1"/>
  <c r="K323" i="6"/>
  <c r="AA323" i="6" s="1"/>
  <c r="Y306" i="6"/>
  <c r="P295" i="6"/>
  <c r="P294" i="6"/>
  <c r="P299" i="6" s="1" a="1"/>
  <c r="P299" i="6" s="1"/>
  <c r="Y308" i="6"/>
  <c r="G325" i="6"/>
  <c r="Z325" i="6" s="1"/>
  <c r="Y307" i="6"/>
  <c r="G323" i="6"/>
  <c r="Z323" i="6" s="1"/>
  <c r="Y232" i="6"/>
  <c r="Y268" i="6"/>
  <c r="Y234" i="6"/>
  <c r="Y233" i="6"/>
  <c r="Y269" i="6"/>
  <c r="Y267" i="6"/>
  <c r="P220" i="6"/>
  <c r="P219" i="6"/>
  <c r="P302" i="6"/>
  <c r="K325" i="6" s="1"/>
  <c r="AA325" i="6" s="1"/>
  <c r="P303" i="6"/>
  <c r="O325" i="6" s="1"/>
  <c r="X325" i="6" s="1"/>
  <c r="P264" i="6"/>
  <c r="O324" i="6" s="1"/>
  <c r="X324" i="6" s="1"/>
  <c r="P263" i="6"/>
  <c r="K324" i="6"/>
  <c r="AA324" i="6" s="1"/>
  <c r="P255" i="6"/>
  <c r="G324" i="6"/>
  <c r="Z324" i="6" s="1"/>
  <c r="P256" i="6"/>
  <c r="P260" i="6" l="1" a="1"/>
  <c r="P260" i="6" s="1"/>
  <c r="P261" i="6" s="1"/>
  <c r="X306" i="6"/>
  <c r="X308" i="6"/>
  <c r="X307" i="6"/>
  <c r="W267" i="6"/>
  <c r="AD255" i="6"/>
  <c r="AD250" i="6"/>
  <c r="AD252" i="6"/>
  <c r="W268" i="6"/>
  <c r="AD251" i="6"/>
  <c r="AD256" i="6"/>
  <c r="AD254" i="6"/>
  <c r="W269" i="6"/>
  <c r="AD253" i="6"/>
  <c r="P300" i="6"/>
  <c r="N299" i="6"/>
  <c r="X234" i="6"/>
  <c r="X233" i="6"/>
  <c r="X232" i="6"/>
  <c r="W232" i="6"/>
  <c r="W234" i="6"/>
  <c r="W233" i="6"/>
  <c r="W308" i="6"/>
  <c r="W306" i="6"/>
  <c r="W307" i="6"/>
  <c r="X269" i="6"/>
  <c r="X268" i="6"/>
  <c r="X267" i="6"/>
  <c r="X323" i="6"/>
  <c r="G327" i="6"/>
  <c r="P224" i="6" a="1"/>
  <c r="P224" i="6" s="1"/>
  <c r="N260" i="6" l="1"/>
  <c r="N224" i="6"/>
  <c r="X224" i="6"/>
  <c r="P225" i="6"/>
  <c r="G329" i="6"/>
  <c r="G328" i="6"/>
  <c r="G330" i="6"/>
  <c r="E109" i="4" l="1"/>
  <c r="E65" i="4"/>
  <c r="E21" i="4"/>
  <c r="S398" i="6"/>
  <c r="X385" i="6" l="1"/>
  <c r="W385" i="6"/>
  <c r="E127" i="4" l="1"/>
  <c r="B126" i="4"/>
  <c r="E123" i="4"/>
  <c r="E124" i="4" s="1"/>
  <c r="K89" i="4"/>
  <c r="E94" i="4"/>
  <c r="E95" i="4" s="1"/>
  <c r="E50" i="4"/>
  <c r="E51" i="4" s="1"/>
  <c r="E83" i="4"/>
  <c r="B82" i="4"/>
  <c r="E77" i="4"/>
  <c r="E79" i="4" s="1"/>
  <c r="E80" i="4" s="1"/>
  <c r="K45" i="4"/>
  <c r="K1" i="4"/>
  <c r="E6" i="4"/>
  <c r="E7" i="4" s="1"/>
  <c r="E33" i="4"/>
  <c r="AJ36" i="5"/>
  <c r="Y36" i="5" s="1"/>
  <c r="AH36" i="5"/>
  <c r="X36" i="5" s="1"/>
  <c r="AF36" i="5"/>
  <c r="W36" i="5" s="1"/>
  <c r="AD36" i="5"/>
  <c r="V36" i="5" s="1"/>
  <c r="U36" i="5"/>
  <c r="U37" i="5" s="1"/>
  <c r="U38" i="5" s="1"/>
  <c r="U39" i="5" s="1"/>
  <c r="U40" i="5" s="1"/>
  <c r="U41" i="5" s="1"/>
  <c r="U42" i="5" s="1"/>
  <c r="U43" i="5" s="1"/>
  <c r="U44" i="5" s="1"/>
  <c r="U45" i="5" s="1"/>
  <c r="U46" i="5" s="1"/>
  <c r="U47" i="5" s="1"/>
  <c r="U48" i="5" s="1"/>
  <c r="U49" i="5" s="1"/>
  <c r="U50" i="5" s="1"/>
  <c r="U51" i="5" s="1"/>
  <c r="U52" i="5" s="1"/>
  <c r="U53" i="5" s="1"/>
  <c r="U54" i="5" s="1"/>
  <c r="U55" i="5" s="1"/>
  <c r="U56" i="5" s="1"/>
  <c r="U57" i="5" s="1"/>
  <c r="U58" i="5" s="1"/>
  <c r="U59" i="5" s="1"/>
  <c r="U60" i="5" s="1"/>
  <c r="U61" i="5" s="1"/>
  <c r="U62" i="5" s="1"/>
  <c r="U63" i="5" s="1"/>
  <c r="U64" i="5" s="1"/>
  <c r="U65" i="5" s="1"/>
  <c r="U66" i="5" s="1"/>
  <c r="U67" i="5" s="1"/>
  <c r="U68" i="5" s="1"/>
  <c r="U69" i="5" s="1"/>
  <c r="U70" i="5" s="1"/>
  <c r="U71" i="5" s="1"/>
  <c r="U72" i="5" s="1"/>
  <c r="U73" i="5" s="1"/>
  <c r="U74" i="5" s="1"/>
  <c r="U75" i="5" s="1"/>
  <c r="U76" i="5" s="1"/>
  <c r="AJ35" i="5"/>
  <c r="Y35" i="5" s="1"/>
  <c r="O52" i="5" s="1"/>
  <c r="AH35" i="5"/>
  <c r="X35" i="5" s="1"/>
  <c r="K52" i="5" s="1"/>
  <c r="AF35" i="5"/>
  <c r="W35" i="5" s="1"/>
  <c r="G52" i="5" s="1"/>
  <c r="AD35" i="5"/>
  <c r="V35" i="5" s="1"/>
  <c r="C52" i="5" s="1"/>
  <c r="U35" i="5"/>
  <c r="AJ34" i="5"/>
  <c r="Y34" i="5" s="1"/>
  <c r="O51" i="5" s="1"/>
  <c r="AH34" i="5"/>
  <c r="X34" i="5" s="1"/>
  <c r="K51" i="5" s="1"/>
  <c r="AF34" i="5"/>
  <c r="W34" i="5" s="1"/>
  <c r="G51" i="5" s="1"/>
  <c r="AD34" i="5"/>
  <c r="V34" i="5" s="1"/>
  <c r="C51" i="5" s="1"/>
  <c r="U34" i="5"/>
  <c r="AJ33" i="5"/>
  <c r="Y33" i="5" s="1"/>
  <c r="O50" i="5" s="1"/>
  <c r="AH33" i="5"/>
  <c r="X33" i="5" s="1"/>
  <c r="K50" i="5" s="1"/>
  <c r="AF33" i="5"/>
  <c r="W33" i="5" s="1"/>
  <c r="G50" i="5" s="1"/>
  <c r="AD33" i="5"/>
  <c r="V33" i="5" s="1"/>
  <c r="C50" i="5" s="1"/>
  <c r="U33" i="5"/>
  <c r="AJ32" i="5"/>
  <c r="Y32" i="5" s="1"/>
  <c r="O49" i="5" s="1"/>
  <c r="AH32" i="5"/>
  <c r="X32" i="5" s="1"/>
  <c r="K49" i="5" s="1"/>
  <c r="AF32" i="5"/>
  <c r="W32" i="5" s="1"/>
  <c r="G49" i="5" s="1"/>
  <c r="AD32" i="5"/>
  <c r="V32" i="5" s="1"/>
  <c r="C49" i="5" s="1"/>
  <c r="U32" i="5"/>
  <c r="AJ31" i="5"/>
  <c r="Y31" i="5" s="1"/>
  <c r="O48" i="5" s="1"/>
  <c r="AH31" i="5"/>
  <c r="X31" i="5" s="1"/>
  <c r="K48" i="5" s="1"/>
  <c r="AF31" i="5"/>
  <c r="W31" i="5" s="1"/>
  <c r="G48" i="5" s="1"/>
  <c r="AD31" i="5"/>
  <c r="V31" i="5" s="1"/>
  <c r="C48" i="5" s="1"/>
  <c r="U31" i="5"/>
  <c r="AJ30" i="5"/>
  <c r="Y30" i="5" s="1"/>
  <c r="O47" i="5" s="1"/>
  <c r="AH30" i="5"/>
  <c r="X30" i="5" s="1"/>
  <c r="K47" i="5" s="1"/>
  <c r="AF30" i="5"/>
  <c r="W30" i="5" s="1"/>
  <c r="G47" i="5" s="1"/>
  <c r="AD30" i="5"/>
  <c r="V30" i="5" s="1"/>
  <c r="C47" i="5" s="1"/>
  <c r="U30" i="5"/>
  <c r="AJ29" i="5"/>
  <c r="Y29" i="5" s="1"/>
  <c r="O46" i="5" s="1"/>
  <c r="AH29" i="5"/>
  <c r="X29" i="5" s="1"/>
  <c r="K46" i="5" s="1"/>
  <c r="AF29" i="5"/>
  <c r="W29" i="5" s="1"/>
  <c r="G46" i="5" s="1"/>
  <c r="AD29" i="5"/>
  <c r="V29" i="5" s="1"/>
  <c r="C46" i="5" s="1"/>
  <c r="U29" i="5"/>
  <c r="AJ28" i="5"/>
  <c r="Y28" i="5" s="1"/>
  <c r="O45" i="5" s="1"/>
  <c r="AH28" i="5"/>
  <c r="X28" i="5" s="1"/>
  <c r="K45" i="5" s="1"/>
  <c r="AF28" i="5"/>
  <c r="W28" i="5" s="1"/>
  <c r="G45" i="5" s="1"/>
  <c r="AD28" i="5"/>
  <c r="V28" i="5" s="1"/>
  <c r="C45" i="5" s="1"/>
  <c r="U28" i="5"/>
  <c r="AJ27" i="5"/>
  <c r="Y27" i="5" s="1"/>
  <c r="O44" i="5" s="1"/>
  <c r="AH27" i="5"/>
  <c r="X27" i="5" s="1"/>
  <c r="K44" i="5" s="1"/>
  <c r="AF27" i="5"/>
  <c r="W27" i="5" s="1"/>
  <c r="G44" i="5" s="1"/>
  <c r="AE27" i="5"/>
  <c r="AG27" i="5" s="1"/>
  <c r="AI27" i="5" s="1"/>
  <c r="AD27" i="5"/>
  <c r="V27" i="5" s="1"/>
  <c r="C44" i="5" s="1"/>
  <c r="U27" i="5"/>
  <c r="AJ26" i="5"/>
  <c r="Y26" i="5" s="1"/>
  <c r="O43" i="5" s="1"/>
  <c r="AH26" i="5"/>
  <c r="X26" i="5" s="1"/>
  <c r="K43" i="5" s="1"/>
  <c r="AF26" i="5"/>
  <c r="W26" i="5" s="1"/>
  <c r="G43" i="5" s="1"/>
  <c r="AD26" i="5"/>
  <c r="V26" i="5" s="1"/>
  <c r="C43" i="5" s="1"/>
  <c r="U26" i="5"/>
  <c r="AJ25" i="5"/>
  <c r="Y25" i="5" s="1"/>
  <c r="O42" i="5" s="1"/>
  <c r="AH25" i="5"/>
  <c r="X25" i="5" s="1"/>
  <c r="K42" i="5" s="1"/>
  <c r="AF25" i="5"/>
  <c r="W25" i="5" s="1"/>
  <c r="G42" i="5" s="1"/>
  <c r="AD25" i="5"/>
  <c r="V25" i="5" s="1"/>
  <c r="C42" i="5" s="1"/>
  <c r="U25" i="5"/>
  <c r="AJ24" i="5"/>
  <c r="Y24" i="5" s="1"/>
  <c r="O41" i="5" s="1"/>
  <c r="AH24" i="5"/>
  <c r="X24" i="5" s="1"/>
  <c r="K41" i="5" s="1"/>
  <c r="AF24" i="5"/>
  <c r="W24" i="5" s="1"/>
  <c r="G41" i="5" s="1"/>
  <c r="AD24" i="5"/>
  <c r="V24" i="5" s="1"/>
  <c r="C41" i="5" s="1"/>
  <c r="U24" i="5"/>
  <c r="AJ23" i="5"/>
  <c r="Y23" i="5" s="1"/>
  <c r="O40" i="5" s="1"/>
  <c r="AH23" i="5"/>
  <c r="X23" i="5" s="1"/>
  <c r="K40" i="5" s="1"/>
  <c r="AF23" i="5"/>
  <c r="W23" i="5" s="1"/>
  <c r="G40" i="5" s="1"/>
  <c r="AD23" i="5"/>
  <c r="V23" i="5" s="1"/>
  <c r="C40" i="5" s="1"/>
  <c r="U23" i="5"/>
  <c r="AJ22" i="5"/>
  <c r="Y22" i="5" s="1"/>
  <c r="O39" i="5" s="1"/>
  <c r="AH22" i="5"/>
  <c r="X22" i="5" s="1"/>
  <c r="K39" i="5" s="1"/>
  <c r="AF22" i="5"/>
  <c r="W22" i="5" s="1"/>
  <c r="G39" i="5" s="1"/>
  <c r="AD22" i="5"/>
  <c r="V22" i="5" s="1"/>
  <c r="C39" i="5" s="1"/>
  <c r="U22" i="5"/>
  <c r="AJ21" i="5"/>
  <c r="Y21" i="5" s="1"/>
  <c r="O38" i="5" s="1"/>
  <c r="AH21" i="5"/>
  <c r="X21" i="5" s="1"/>
  <c r="K38" i="5" s="1"/>
  <c r="AF21" i="5"/>
  <c r="W21" i="5" s="1"/>
  <c r="G38" i="5" s="1"/>
  <c r="AD21" i="5"/>
  <c r="V21" i="5" s="1"/>
  <c r="C38" i="5" s="1"/>
  <c r="U21" i="5"/>
  <c r="O21" i="5"/>
  <c r="K21" i="5"/>
  <c r="G21" i="5"/>
  <c r="C21" i="5"/>
  <c r="AJ20" i="5"/>
  <c r="Y20" i="5" s="1"/>
  <c r="O37" i="5" s="1"/>
  <c r="AH20" i="5"/>
  <c r="X20" i="5" s="1"/>
  <c r="K37" i="5" s="1"/>
  <c r="AF20" i="5"/>
  <c r="W20" i="5" s="1"/>
  <c r="G37" i="5" s="1"/>
  <c r="AD20" i="5"/>
  <c r="V20" i="5" s="1"/>
  <c r="C37" i="5" s="1"/>
  <c r="U20" i="5"/>
  <c r="AJ19" i="5"/>
  <c r="Y19" i="5" s="1"/>
  <c r="O36" i="5" s="1"/>
  <c r="AH19" i="5"/>
  <c r="X19" i="5" s="1"/>
  <c r="K36" i="5" s="1"/>
  <c r="AF19" i="5"/>
  <c r="W19" i="5" s="1"/>
  <c r="G36" i="5" s="1"/>
  <c r="AD19" i="5"/>
  <c r="V19" i="5" s="1"/>
  <c r="C36" i="5" s="1"/>
  <c r="U19" i="5"/>
  <c r="AJ18" i="5"/>
  <c r="Y18" i="5" s="1"/>
  <c r="O35" i="5" s="1"/>
  <c r="AH18" i="5"/>
  <c r="X18" i="5" s="1"/>
  <c r="K35" i="5" s="1"/>
  <c r="AF18" i="5"/>
  <c r="W18" i="5" s="1"/>
  <c r="G35" i="5" s="1"/>
  <c r="AD18" i="5"/>
  <c r="V18" i="5" s="1"/>
  <c r="C35" i="5" s="1"/>
  <c r="U18" i="5"/>
  <c r="AJ17" i="5"/>
  <c r="Y17" i="5" s="1"/>
  <c r="O34" i="5" s="1"/>
  <c r="AH17" i="5"/>
  <c r="X17" i="5" s="1"/>
  <c r="K34" i="5" s="1"/>
  <c r="AF17" i="5"/>
  <c r="W17" i="5" s="1"/>
  <c r="G34" i="5" s="1"/>
  <c r="AD17" i="5"/>
  <c r="V17" i="5" s="1"/>
  <c r="C34" i="5" s="1"/>
  <c r="U17" i="5"/>
  <c r="AJ16" i="5"/>
  <c r="Y16" i="5" s="1"/>
  <c r="O33" i="5" s="1"/>
  <c r="AH16" i="5"/>
  <c r="X16" i="5" s="1"/>
  <c r="K33" i="5" s="1"/>
  <c r="AF16" i="5"/>
  <c r="W16" i="5" s="1"/>
  <c r="G33" i="5" s="1"/>
  <c r="AD16" i="5"/>
  <c r="V16" i="5" s="1"/>
  <c r="C33" i="5" s="1"/>
  <c r="U16" i="5"/>
  <c r="AJ15" i="5"/>
  <c r="Y15" i="5" s="1"/>
  <c r="O32" i="5" s="1"/>
  <c r="AH15" i="5"/>
  <c r="X15" i="5" s="1"/>
  <c r="K32" i="5" s="1"/>
  <c r="AF15" i="5"/>
  <c r="W15" i="5" s="1"/>
  <c r="G32" i="5" s="1"/>
  <c r="AD15" i="5"/>
  <c r="V15" i="5" s="1"/>
  <c r="C32" i="5" s="1"/>
  <c r="U15" i="5"/>
  <c r="AJ14" i="5"/>
  <c r="Y14" i="5" s="1"/>
  <c r="O31" i="5" s="1"/>
  <c r="AH14" i="5"/>
  <c r="X14" i="5" s="1"/>
  <c r="K31" i="5" s="1"/>
  <c r="AF14" i="5"/>
  <c r="W14" i="5" s="1"/>
  <c r="G31" i="5" s="1"/>
  <c r="AD14" i="5"/>
  <c r="V14" i="5" s="1"/>
  <c r="C31" i="5" s="1"/>
  <c r="U14" i="5"/>
  <c r="AJ13" i="5"/>
  <c r="Y13" i="5" s="1"/>
  <c r="O30" i="5" s="1"/>
  <c r="AH13" i="5"/>
  <c r="X13" i="5" s="1"/>
  <c r="K30" i="5" s="1"/>
  <c r="AF13" i="5"/>
  <c r="W13" i="5" s="1"/>
  <c r="G30" i="5" s="1"/>
  <c r="AD13" i="5"/>
  <c r="V13" i="5" s="1"/>
  <c r="C30" i="5" s="1"/>
  <c r="U13" i="5"/>
  <c r="AJ12" i="5"/>
  <c r="Y12" i="5" s="1"/>
  <c r="O29" i="5" s="1"/>
  <c r="AH12" i="5"/>
  <c r="X12" i="5" s="1"/>
  <c r="K29" i="5" s="1"/>
  <c r="AF12" i="5"/>
  <c r="W12" i="5" s="1"/>
  <c r="G29" i="5" s="1"/>
  <c r="AD12" i="5"/>
  <c r="V12" i="5" s="1"/>
  <c r="C29" i="5" s="1"/>
  <c r="U12" i="5"/>
  <c r="AJ11" i="5"/>
  <c r="Y11" i="5" s="1"/>
  <c r="O28" i="5" s="1"/>
  <c r="AH11" i="5"/>
  <c r="X11" i="5" s="1"/>
  <c r="K28" i="5" s="1"/>
  <c r="AF11" i="5"/>
  <c r="W11" i="5" s="1"/>
  <c r="G28" i="5" s="1"/>
  <c r="AD11" i="5"/>
  <c r="V11" i="5" s="1"/>
  <c r="C28" i="5" s="1"/>
  <c r="U11" i="5"/>
  <c r="AJ10" i="5"/>
  <c r="Y10" i="5" s="1"/>
  <c r="O27" i="5" s="1"/>
  <c r="AH10" i="5"/>
  <c r="X10" i="5" s="1"/>
  <c r="K27" i="5" s="1"/>
  <c r="AF10" i="5"/>
  <c r="W10" i="5" s="1"/>
  <c r="G27" i="5" s="1"/>
  <c r="AD10" i="5"/>
  <c r="V10" i="5" s="1"/>
  <c r="C27" i="5" s="1"/>
  <c r="U10" i="5"/>
  <c r="AJ9" i="5"/>
  <c r="Y9" i="5" s="1"/>
  <c r="O26" i="5" s="1"/>
  <c r="AH9" i="5"/>
  <c r="X9" i="5" s="1"/>
  <c r="K26" i="5" s="1"/>
  <c r="AF9" i="5"/>
  <c r="W9" i="5" s="1"/>
  <c r="G26" i="5" s="1"/>
  <c r="AD9" i="5"/>
  <c r="V9" i="5" s="1"/>
  <c r="C26" i="5" s="1"/>
  <c r="U9" i="5"/>
  <c r="AJ8" i="5"/>
  <c r="Y8" i="5" s="1"/>
  <c r="O25" i="5" s="1"/>
  <c r="AH8" i="5"/>
  <c r="X8" i="5" s="1"/>
  <c r="K25" i="5" s="1"/>
  <c r="AF8" i="5"/>
  <c r="W8" i="5" s="1"/>
  <c r="G25" i="5" s="1"/>
  <c r="AD8" i="5"/>
  <c r="V8" i="5" s="1"/>
  <c r="C25" i="5" s="1"/>
  <c r="U8" i="5"/>
  <c r="AJ7" i="5"/>
  <c r="Y7" i="5" s="1"/>
  <c r="O24" i="5" s="1"/>
  <c r="AH7" i="5"/>
  <c r="X7" i="5" s="1"/>
  <c r="K24" i="5" s="1"/>
  <c r="AF7" i="5"/>
  <c r="W7" i="5" s="1"/>
  <c r="G24" i="5" s="1"/>
  <c r="AD7" i="5"/>
  <c r="V7" i="5" s="1"/>
  <c r="C24" i="5" s="1"/>
  <c r="U7" i="5"/>
  <c r="AH6" i="5"/>
  <c r="X6" i="5" s="1"/>
  <c r="K23" i="5" s="1"/>
  <c r="Y6" i="5"/>
  <c r="O23" i="5" s="1"/>
  <c r="W6" i="5"/>
  <c r="G23" i="5" s="1"/>
  <c r="V6" i="5"/>
  <c r="C23" i="5" s="1"/>
  <c r="U6" i="5"/>
  <c r="X69" i="5" l="1"/>
  <c r="X62" i="5"/>
  <c r="X67" i="5"/>
  <c r="X65" i="5"/>
  <c r="X63" i="5"/>
  <c r="X68" i="5"/>
  <c r="X66" i="5"/>
  <c r="X64" i="5"/>
  <c r="V67" i="5"/>
  <c r="V65" i="5"/>
  <c r="V63" i="5"/>
  <c r="V68" i="5"/>
  <c r="V66" i="5"/>
  <c r="V64" i="5"/>
  <c r="V69" i="5"/>
  <c r="V62" i="5"/>
  <c r="W62" i="5"/>
  <c r="W67" i="5"/>
  <c r="W65" i="5"/>
  <c r="W63" i="5"/>
  <c r="W68" i="5"/>
  <c r="W66" i="5"/>
  <c r="W64" i="5"/>
  <c r="W69" i="5"/>
  <c r="Y64" i="5"/>
  <c r="Y69" i="5"/>
  <c r="Y62" i="5"/>
  <c r="Y67" i="5"/>
  <c r="Y65" i="5"/>
  <c r="Y63" i="5"/>
  <c r="Y68" i="5"/>
  <c r="Y66" i="5"/>
  <c r="K46" i="4"/>
  <c r="K47" i="4" s="1" a="1"/>
  <c r="K47" i="4" s="1"/>
  <c r="E58" i="4" s="1"/>
  <c r="E60" i="4" s="1"/>
  <c r="K2" i="4"/>
  <c r="K3" i="4" s="1" a="1"/>
  <c r="K3" i="4" s="1"/>
  <c r="E14" i="4" s="1"/>
  <c r="E16" i="4" s="1"/>
  <c r="E26" i="4" s="1"/>
  <c r="E28" i="4" s="1"/>
  <c r="K90" i="4"/>
  <c r="K91" i="4" s="1" a="1"/>
  <c r="K91" i="4" s="1"/>
  <c r="E102" i="4" s="1"/>
  <c r="E104" i="4" s="1"/>
  <c r="E114" i="4" s="1"/>
  <c r="E116" i="4" s="1"/>
  <c r="E128" i="4"/>
  <c r="E84" i="4"/>
  <c r="W74" i="5"/>
  <c r="W50" i="5"/>
  <c r="W46" i="5"/>
  <c r="W42" i="5"/>
  <c r="W38" i="5"/>
  <c r="W71" i="5"/>
  <c r="W57" i="5"/>
  <c r="W76" i="5"/>
  <c r="G53" i="5"/>
  <c r="W59" i="5"/>
  <c r="W54" i="5"/>
  <c r="W73" i="5"/>
  <c r="W61" i="5"/>
  <c r="W72" i="5"/>
  <c r="W60" i="5"/>
  <c r="W70" i="5"/>
  <c r="W75" i="5"/>
  <c r="W58" i="5"/>
  <c r="W49" i="5"/>
  <c r="W45" i="5"/>
  <c r="W41" i="5"/>
  <c r="W37" i="5"/>
  <c r="W53" i="5"/>
  <c r="W52" i="5"/>
  <c r="W40" i="5"/>
  <c r="W56" i="5"/>
  <c r="W44" i="5"/>
  <c r="W55" i="5"/>
  <c r="W51" i="5"/>
  <c r="W47" i="5"/>
  <c r="W43" i="5"/>
  <c r="W39" i="5"/>
  <c r="W48" i="5"/>
  <c r="X57" i="5"/>
  <c r="X76" i="5"/>
  <c r="K53" i="5"/>
  <c r="X71" i="5"/>
  <c r="X59" i="5"/>
  <c r="X51" i="5"/>
  <c r="X47" i="5"/>
  <c r="X43" i="5"/>
  <c r="X39" i="5"/>
  <c r="X54" i="5"/>
  <c r="X73" i="5"/>
  <c r="X61" i="5"/>
  <c r="X56" i="5"/>
  <c r="X41" i="5"/>
  <c r="X38" i="5"/>
  <c r="X55" i="5"/>
  <c r="X53" i="5"/>
  <c r="X74" i="5"/>
  <c r="X40" i="5"/>
  <c r="X46" i="5"/>
  <c r="X72" i="5"/>
  <c r="X60" i="5"/>
  <c r="X52" i="5"/>
  <c r="X48" i="5"/>
  <c r="X50" i="5"/>
  <c r="X70" i="5"/>
  <c r="X75" i="5"/>
  <c r="X58" i="5"/>
  <c r="X49" i="5"/>
  <c r="X45" i="5"/>
  <c r="X37" i="5"/>
  <c r="X44" i="5"/>
  <c r="X42" i="5"/>
  <c r="V55" i="5"/>
  <c r="V76" i="5"/>
  <c r="V74" i="5"/>
  <c r="V50" i="5"/>
  <c r="V46" i="5"/>
  <c r="V42" i="5"/>
  <c r="V38" i="5"/>
  <c r="V57" i="5"/>
  <c r="C53" i="5"/>
  <c r="V71" i="5"/>
  <c r="V59" i="5"/>
  <c r="V51" i="5"/>
  <c r="V47" i="5"/>
  <c r="V43" i="5"/>
  <c r="V39" i="5"/>
  <c r="V54" i="5"/>
  <c r="V56" i="5"/>
  <c r="V48" i="5"/>
  <c r="V70" i="5"/>
  <c r="V75" i="5"/>
  <c r="V58" i="5"/>
  <c r="V49" i="5"/>
  <c r="V45" i="5"/>
  <c r="V41" i="5"/>
  <c r="V37" i="5"/>
  <c r="V53" i="5"/>
  <c r="V73" i="5"/>
  <c r="V61" i="5"/>
  <c r="V40" i="5"/>
  <c r="V60" i="5"/>
  <c r="V44" i="5"/>
  <c r="V52" i="5"/>
  <c r="V72" i="5"/>
  <c r="Y76" i="5"/>
  <c r="O53" i="5"/>
  <c r="Y61" i="5"/>
  <c r="Y71" i="5"/>
  <c r="Y59" i="5"/>
  <c r="Y51" i="5"/>
  <c r="Y47" i="5"/>
  <c r="Y43" i="5"/>
  <c r="Y39" i="5"/>
  <c r="Y54" i="5"/>
  <c r="Y73" i="5"/>
  <c r="Y56" i="5"/>
  <c r="Y52" i="5"/>
  <c r="Y48" i="5"/>
  <c r="Y44" i="5"/>
  <c r="Y40" i="5"/>
  <c r="Y75" i="5"/>
  <c r="Y74" i="5"/>
  <c r="Y42" i="5"/>
  <c r="Y53" i="5"/>
  <c r="Y37" i="5"/>
  <c r="Y41" i="5"/>
  <c r="Y45" i="5"/>
  <c r="Y49" i="5"/>
  <c r="Y58" i="5"/>
  <c r="Y72" i="5"/>
  <c r="Y70" i="5"/>
  <c r="Y55" i="5"/>
  <c r="Y38" i="5"/>
  <c r="Y50" i="5"/>
  <c r="Y46" i="5"/>
  <c r="Y57" i="5"/>
  <c r="Y60" i="5"/>
  <c r="E70" i="4" l="1"/>
  <c r="E72" i="4" s="1"/>
  <c r="N5" i="4"/>
  <c r="K134" i="4"/>
  <c r="E130" i="4"/>
  <c r="R6" i="4" s="1"/>
  <c r="Q6" i="4"/>
  <c r="K135" i="4"/>
  <c r="N6" i="4"/>
  <c r="Q5" i="4" l="1"/>
  <c r="E86" i="4"/>
  <c r="R5" i="4" s="1"/>
  <c r="C209" i="4" s="1"/>
  <c r="C210" i="4"/>
  <c r="C279" i="4"/>
  <c r="C243" i="4"/>
  <c r="C242" i="4" l="1"/>
  <c r="C278" i="4"/>
  <c r="J289" i="4"/>
  <c r="J251" i="4"/>
  <c r="J215" i="4"/>
  <c r="N322" i="4" l="1"/>
  <c r="N321" i="4"/>
  <c r="E39" i="4"/>
  <c r="B38" i="4"/>
  <c r="E35" i="4"/>
  <c r="E36" i="4" s="1"/>
  <c r="Q4" i="4"/>
  <c r="D278" i="4"/>
  <c r="D279" i="4"/>
  <c r="D242" i="4"/>
  <c r="D243" i="4"/>
  <c r="E40" i="4" l="1"/>
  <c r="K133" i="4" s="1"/>
  <c r="D277" i="4"/>
  <c r="D241" i="4"/>
  <c r="E42" i="4" l="1"/>
  <c r="R4" i="4" s="1"/>
  <c r="N4" i="4"/>
  <c r="C277" i="4" l="1"/>
  <c r="H282" i="4" s="1"/>
  <c r="C241" i="4"/>
  <c r="H244" i="4" s="1"/>
  <c r="C208" i="4"/>
  <c r="H209" i="4" s="1"/>
  <c r="L208" i="4" s="1"/>
  <c r="L209" i="4" s="1"/>
  <c r="L210" i="4" s="1"/>
  <c r="H249" i="4" l="1"/>
  <c r="H281" i="4"/>
  <c r="L277" i="4" s="1"/>
  <c r="H212" i="4"/>
  <c r="H218" i="4"/>
  <c r="H213" i="4"/>
  <c r="H248" i="4"/>
  <c r="H243" i="4"/>
  <c r="L241" i="4" s="1"/>
  <c r="O314" i="4"/>
  <c r="O315" i="4"/>
  <c r="O313" i="4"/>
  <c r="H278" i="4"/>
  <c r="H277" i="4" a="1"/>
  <c r="H277" i="4" s="1"/>
  <c r="L279" i="4" l="1"/>
  <c r="L278" i="4"/>
  <c r="L243" i="4"/>
  <c r="L242" i="4"/>
  <c r="N289" i="4"/>
  <c r="N290" i="4" s="1"/>
  <c r="H279" i="4" s="1"/>
  <c r="H241" i="4" l="1"/>
  <c r="E313" i="4" l="1"/>
  <c r="E314" i="4"/>
  <c r="H287" i="4"/>
  <c r="H286" i="4"/>
  <c r="Q314" i="4" l="1"/>
  <c r="Q313" i="4"/>
  <c r="P321" i="4"/>
  <c r="H254" i="4"/>
  <c r="C314" i="4"/>
  <c r="C313" i="4"/>
  <c r="H255" i="4"/>
  <c r="G314" i="4" s="1"/>
  <c r="H246" i="4"/>
  <c r="M241" i="4" s="1"/>
  <c r="H247" i="4"/>
  <c r="N241" i="4" s="1"/>
  <c r="H211" i="4"/>
  <c r="N208" i="4" s="1"/>
  <c r="N209" i="4" s="1"/>
  <c r="N210" i="4" s="1"/>
  <c r="H210" i="4"/>
  <c r="M208" i="4" s="1"/>
  <c r="M209" i="4" s="1"/>
  <c r="M210" i="4" s="1"/>
  <c r="H219" i="4"/>
  <c r="G313" i="4" s="1"/>
  <c r="M321" i="4" s="1"/>
  <c r="N243" i="4" l="1"/>
  <c r="N242" i="4"/>
  <c r="M243" i="4"/>
  <c r="M242" i="4"/>
  <c r="H215" i="4" a="1"/>
  <c r="H215" i="4" s="1"/>
  <c r="H251" i="4" a="1"/>
  <c r="H251" i="4" s="1"/>
  <c r="N314" i="4"/>
  <c r="P313" i="4"/>
  <c r="O321" i="4"/>
  <c r="P314" i="4"/>
  <c r="T241" i="4"/>
  <c r="T242" i="4"/>
  <c r="N313" i="4"/>
  <c r="F251" i="4" l="1"/>
  <c r="F215" i="4"/>
  <c r="H216" i="4"/>
  <c r="H252" i="4"/>
  <c r="C315" i="4" l="1"/>
  <c r="H285" i="4"/>
  <c r="N277" i="4" s="1"/>
  <c r="H284" i="4"/>
  <c r="M277" i="4" s="1"/>
  <c r="H293" i="4"/>
  <c r="G315" i="4" s="1"/>
  <c r="M322" i="4" s="1"/>
  <c r="D317" i="4" s="1"/>
  <c r="H292" i="4"/>
  <c r="E315" i="4" s="1"/>
  <c r="M278" i="4" l="1"/>
  <c r="M279" i="4"/>
  <c r="N278" i="4"/>
  <c r="N279" i="4"/>
  <c r="H289" i="4" a="1"/>
  <c r="H289" i="4" s="1"/>
  <c r="Q315" i="4"/>
  <c r="P322" i="4"/>
  <c r="D320" i="4"/>
  <c r="D318" i="4"/>
  <c r="D319" i="4"/>
  <c r="P315" i="4"/>
  <c r="O322" i="4"/>
  <c r="N315" i="4"/>
  <c r="F289" i="4" l="1"/>
  <c r="H29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<sst xmlns="http://schemas.openxmlformats.org/spreadsheetml/2006/main" count="451" uniqueCount="223">
  <si>
    <t>Regular</t>
  </si>
  <si>
    <t>Item</t>
  </si>
  <si>
    <t>Valor unitário homogeneizado</t>
  </si>
  <si>
    <t>Coeficiente de variação</t>
  </si>
  <si>
    <t>Média</t>
  </si>
  <si>
    <t>Desvio-padrão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</si>
  <si>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</si>
  <si>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</si>
  <si>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</si>
  <si>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</si>
  <si>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</si>
  <si>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</si>
  <si>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</si>
  <si>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</si>
  <si>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</si>
  <si>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</si>
  <si>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</si>
  <si>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</si>
  <si>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</si>
  <si>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</si>
  <si>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</si>
  <si>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</si>
  <si>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</si>
  <si>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</si>
  <si>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</si>
  <si>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</si>
  <si>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</si>
  <si>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Desvio-padrão a ser aplicado</t>
  </si>
  <si>
    <t>I</t>
  </si>
  <si>
    <t>Descrição</t>
  </si>
  <si>
    <t>Dados efetivamente utilizados</t>
  </si>
  <si>
    <t>AVALIAÇÃO DE TERRENO PELO MÉTODO COMPARATIVO DIRETO DE DADOS DE MERCADO</t>
  </si>
  <si>
    <t>INFORMAR O NÚMERO DE DADOS QUE FORAM EFETIVAMENTE UTILIZADOS</t>
  </si>
  <si>
    <t>Novo</t>
  </si>
  <si>
    <t>Classe</t>
  </si>
  <si>
    <t>Valor relativo</t>
  </si>
  <si>
    <t>A</t>
  </si>
  <si>
    <t>B</t>
  </si>
  <si>
    <t>Entre novo e regular</t>
  </si>
  <si>
    <t>C</t>
  </si>
  <si>
    <t>D</t>
  </si>
  <si>
    <t>Entre regular e reparos simples</t>
  </si>
  <si>
    <t>E</t>
  </si>
  <si>
    <t>Reparos simples</t>
  </si>
  <si>
    <t>F</t>
  </si>
  <si>
    <t>G</t>
  </si>
  <si>
    <t>Reparos importantes</t>
  </si>
  <si>
    <t>H</t>
  </si>
  <si>
    <t>Entre reparos importantes e sem valor</t>
  </si>
  <si>
    <t>Sem valor</t>
  </si>
  <si>
    <t>Vida útil referencial</t>
  </si>
  <si>
    <t>IMÓVEL 1</t>
  </si>
  <si>
    <t>Endereço</t>
  </si>
  <si>
    <t>Área do terreno</t>
  </si>
  <si>
    <t>Área construída</t>
  </si>
  <si>
    <t>Valor do terreno</t>
  </si>
  <si>
    <t>Remanescente</t>
  </si>
  <si>
    <t>Preço do imóvel</t>
  </si>
  <si>
    <t>Valor unitário da área construída</t>
  </si>
  <si>
    <t>Rua dos Andradas, 127, Vila Paulista, Bebedouro-SP</t>
  </si>
  <si>
    <t>Idade aparente das benfeitorias</t>
  </si>
  <si>
    <t>Classe do estado de conservação</t>
  </si>
  <si>
    <t>Valor relativo da escala Heidecke</t>
  </si>
  <si>
    <t>Método de depreciação Ross-Heidecke</t>
  </si>
  <si>
    <t>Descrição resumida</t>
  </si>
  <si>
    <t>Entre reparos simples e importante</t>
  </si>
  <si>
    <t>Idade percentual</t>
  </si>
  <si>
    <t>Fator de depreciação Ross-Heidecke</t>
  </si>
  <si>
    <t>Valor unitário da área construída homogeneizado</t>
  </si>
  <si>
    <t>IMÓVEL 2</t>
  </si>
  <si>
    <t>IMÓVEL 3</t>
  </si>
  <si>
    <t>Demonstração visual sobre a homogeneização realizada acima</t>
  </si>
  <si>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</si>
  <si>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</si>
  <si>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Grande estrutura</t>
  </si>
  <si>
    <t>Pequena estrutura e residencial de luxo</t>
  </si>
  <si>
    <t>Industrial e residencial médio</t>
  </si>
  <si>
    <t>Residencial modesto e proletárias</t>
  </si>
  <si>
    <t>VARIAÇÃO DOS COEFICIENTES DA VANTAGEM DA COISA FEITA</t>
  </si>
  <si>
    <t>IDADE DA CONSTRUÇÃO</t>
  </si>
  <si>
    <t>GRANDE ESTRUTURA</t>
  </si>
  <si>
    <t>PEQUENA ESTRUTURA E RESIDENCIAL DE LUXO</t>
  </si>
  <si>
    <t>INDUSTRIAL E RESIDENCIAL MÉDIO</t>
  </si>
  <si>
    <t>RESIDENCIAL MODESTO E PROLETÁRIAS</t>
  </si>
  <si>
    <t>Tipo de construção</t>
  </si>
  <si>
    <t>De 0 a 10 anos</t>
  </si>
  <si>
    <t>De 10 a 20 anos</t>
  </si>
  <si>
    <t>De 20 a 30 anos</t>
  </si>
  <si>
    <t>Os coeficientes de redução pela idade não se aplicam a zonas comerciais altamente valorizadas.</t>
  </si>
  <si>
    <t>Na tabela abaixo a idade do imóvel está em anos; não se trata de percentual da vida útil do imóvel.</t>
  </si>
  <si>
    <t>Idade em anos</t>
  </si>
  <si>
    <t>Observação:</t>
  </si>
  <si>
    <t>foram calculados os valores dos intervalos de cada faixa de tal forma que a cada ano correspondesse um coeficiente específico; o cálculo dessa variação foi linear.</t>
  </si>
  <si>
    <t>Idade</t>
  </si>
  <si>
    <t>Tipo do imóvel:</t>
  </si>
  <si>
    <t>Idade aparente das edificações:</t>
  </si>
  <si>
    <t>Fator da vantagem da coisa feita a ser excluído</t>
  </si>
  <si>
    <t>Situação do imóvel</t>
  </si>
  <si>
    <t>Situação do imóvel no mercado</t>
  </si>
  <si>
    <t>Situação</t>
  </si>
  <si>
    <t>Fator de oferta</t>
  </si>
  <si>
    <t>Negociação concluída</t>
  </si>
  <si>
    <t>Imóvel à venda</t>
  </si>
  <si>
    <t>Fator aplicável</t>
  </si>
  <si>
    <t>Ajuste prévio ao fator de oferta</t>
  </si>
  <si>
    <t>Ajuste prévio ao fator da vantagem da coisa feita</t>
  </si>
  <si>
    <r>
      <t xml:space="preserve">A </t>
    </r>
    <r>
      <rPr>
        <b/>
        <sz val="11"/>
        <rFont val="Arial"/>
        <family val="2"/>
      </rPr>
      <t>vantagem da coisa feita</t>
    </r>
    <r>
      <rPr>
        <sz val="11"/>
        <rFont val="Arial"/>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</si>
  <si>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Fatores de depreciação antes da homogeneização</t>
  </si>
  <si>
    <t>Fatores de depreciação após a homogeneização</t>
  </si>
  <si>
    <t>Valores anteriores à homogeneização</t>
  </si>
  <si>
    <t>Valores posteriores à homogeneização</t>
  </si>
  <si>
    <t>Paradigma: 1,00</t>
  </si>
  <si>
    <t>alfa (estado de conservação A na escala Heidecke; base para as demais classificações)</t>
  </si>
  <si>
    <t>DO PROPÓSITO DESTE ESTUDO</t>
  </si>
  <si>
    <t>DOS CRITÉRIOS PARA HOMOGENEIZAÇÃO</t>
  </si>
  <si>
    <t>______. NBR 14653-1:2019. Avaliação bens. Parte 1: Procedimentos gerais.</t>
  </si>
  <si>
    <t>______. NBR 14653-2:2011. Avaliação bens. Parte 2: Imóveis urbanos.</t>
  </si>
  <si>
    <t>Após a coleta dos elementos que servirão de base para a avaliação, o avaliador geralmente está diante de uma amostra formada por imóveis com características heterogêneas, tornando-se imprescindível a homogeneização dos dados em relação ao bem avaliando, ou a um paradigma adotado, para a utilização adequada do método comparativo. Nesta etapa são retiradas as vantagens ou desvantagens existentes nos dados de referência em relação ao bem avaliando ou a um paradigma adotado. Para isto devem-se utilizar as ferramentas de inferência estatística, através da busca de modelos explicativos do mercado imobiliário.  
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16 e 21).</t>
  </si>
  <si>
    <t>Nesse ponto, seguimos a doutrina de Rubens Alves Dantas:</t>
  </si>
  <si>
    <t>Uma demonstração visual do raciocínio aplicado acima será apresentado no próximo gráfico.</t>
  </si>
  <si>
    <t xml:space="preserve">FUNDAMENTAÇÃO TÉCNICA E PROPOSTA DE SOLUÇÃO: MÉTODO RESIDUAL </t>
  </si>
  <si>
    <t>AMOSTRA. CONJUNTO DE DADOS COLETADOS NO MERCADO.</t>
  </si>
  <si>
    <t>Tabela 3 - Grau de fundamentação no caso de utilização do tratamento por fatores (NBR 14653-2:2011. Avaliação de bens. Parte 2: Imóveis urbanos)</t>
  </si>
  <si>
    <t>Grau</t>
  </si>
  <si>
    <t>Quantidade de dados de mercado, efetivamente utilizados</t>
  </si>
  <si>
    <t>III</t>
  </si>
  <si>
    <t>II</t>
  </si>
  <si>
    <t>DADOS DOS ELEMENTOS DA AMOSTRA, VALOR UNITÁRIO E AJUSTE PRÉVIO AO FATOR DE OFERTA</t>
  </si>
  <si>
    <t>Preço</t>
  </si>
  <si>
    <t>Área</t>
  </si>
  <si>
    <t>Valor unitário
(R$/m²)</t>
  </si>
  <si>
    <t>Situação no mercado</t>
  </si>
  <si>
    <t>Valor unitário ajustado</t>
  </si>
  <si>
    <t>Fator de oferta aplicável</t>
  </si>
  <si>
    <t>Terreno à venda</t>
  </si>
  <si>
    <t>Elemento comparativo</t>
  </si>
  <si>
    <t>Fator</t>
  </si>
  <si>
    <t>HOMOGENEIZAÇÃO</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</si>
  <si>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</si>
  <si>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Fator de homogeneização</t>
  </si>
  <si>
    <t>Código</t>
  </si>
  <si>
    <t>Característica do terreno padrão</t>
  </si>
  <si>
    <t>Fator do terreno padrão</t>
  </si>
  <si>
    <t>Fator de testada</t>
  </si>
  <si>
    <r>
      <t>F</t>
    </r>
    <r>
      <rPr>
        <vertAlign val="subscript"/>
        <sz val="10"/>
        <rFont val="Aptos"/>
        <family val="2"/>
      </rPr>
      <t>f</t>
    </r>
  </si>
  <si>
    <t>Frente padrão para a zona</t>
  </si>
  <si>
    <t>Fator de topografia</t>
  </si>
  <si>
    <r>
      <t>F</t>
    </r>
    <r>
      <rPr>
        <vertAlign val="subscript"/>
        <sz val="10"/>
        <rFont val="Aptos"/>
        <family val="2"/>
      </rPr>
      <t>t</t>
    </r>
  </si>
  <si>
    <t>Plano, em nível</t>
  </si>
  <si>
    <t>Fator de consistência do solo</t>
  </si>
  <si>
    <r>
      <t>F</t>
    </r>
    <r>
      <rPr>
        <vertAlign val="subscript"/>
        <sz val="10"/>
        <rFont val="Aptos"/>
        <family val="2"/>
      </rPr>
      <t>cs</t>
    </r>
  </si>
  <si>
    <t>Seco</t>
  </si>
  <si>
    <t>Fator de profundidade</t>
  </si>
  <si>
    <r>
      <t>F</t>
    </r>
    <r>
      <rPr>
        <vertAlign val="subscript"/>
        <sz val="10"/>
        <rFont val="Aptos"/>
        <family val="2"/>
      </rPr>
      <t>p</t>
    </r>
  </si>
  <si>
    <t>Dentro dos limites mínimo e máximo</t>
  </si>
  <si>
    <t>Fator de esquina</t>
  </si>
  <si>
    <r>
      <t>F</t>
    </r>
    <r>
      <rPr>
        <vertAlign val="subscript"/>
        <sz val="10"/>
        <rFont val="Aptos"/>
        <family val="2"/>
      </rPr>
      <t>e</t>
    </r>
  </si>
  <si>
    <t>Meio de quadra</t>
  </si>
  <si>
    <t>Bem avaliando</t>
  </si>
  <si>
    <t>Fatores</t>
  </si>
  <si>
    <t>Somatório</t>
  </si>
  <si>
    <r>
      <t>F</t>
    </r>
    <r>
      <rPr>
        <vertAlign val="subscript"/>
        <sz val="10"/>
        <rFont val="Arial Nova"/>
        <family val="2"/>
      </rPr>
      <t>f</t>
    </r>
  </si>
  <si>
    <r>
      <t>F</t>
    </r>
    <r>
      <rPr>
        <vertAlign val="subscript"/>
        <sz val="10"/>
        <rFont val="Arial Nova"/>
        <family val="2"/>
      </rPr>
      <t>t</t>
    </r>
  </si>
  <si>
    <r>
      <t>F</t>
    </r>
    <r>
      <rPr>
        <vertAlign val="subscript"/>
        <sz val="10"/>
        <rFont val="Arial Nova"/>
        <family val="2"/>
      </rPr>
      <t>cs</t>
    </r>
  </si>
  <si>
    <r>
      <t>F</t>
    </r>
    <r>
      <rPr>
        <vertAlign val="subscript"/>
        <sz val="10"/>
        <rFont val="Arial Nova"/>
        <family val="2"/>
      </rPr>
      <t>p</t>
    </r>
  </si>
  <si>
    <r>
      <t>F</t>
    </r>
    <r>
      <rPr>
        <vertAlign val="subscript"/>
        <sz val="10"/>
        <rFont val="Arial Nova"/>
        <family val="2"/>
      </rPr>
      <t>e</t>
    </r>
  </si>
  <si>
    <t>Somatório do bem avaliando</t>
  </si>
  <si>
    <t>Demonstração visual da situação da amostra antes da homogeneização.</t>
  </si>
  <si>
    <t>Demonstração do ajuste dos itens da amostra ao paradigma.</t>
  </si>
  <si>
    <t>Demonstração visual do conjunto de dados após a homogeneização.</t>
  </si>
  <si>
    <t>MELHORAMENTOS PÚBLICOS</t>
  </si>
  <si>
    <t>Melhoramentos públicos</t>
  </si>
  <si>
    <t>Coeficientes</t>
  </si>
  <si>
    <t>Comparação
(diferença)</t>
  </si>
  <si>
    <t>Água</t>
  </si>
  <si>
    <r>
      <t>M</t>
    </r>
    <r>
      <rPr>
        <vertAlign val="subscript"/>
        <sz val="10"/>
        <rFont val="Arial Nova"/>
        <family val="2"/>
      </rPr>
      <t>p1</t>
    </r>
  </si>
  <si>
    <t>Esgoto</t>
  </si>
  <si>
    <r>
      <t>M</t>
    </r>
    <r>
      <rPr>
        <vertAlign val="subscript"/>
        <sz val="10"/>
        <rFont val="Arial Nova"/>
        <family val="2"/>
      </rPr>
      <t>p2</t>
    </r>
  </si>
  <si>
    <r>
      <t>M</t>
    </r>
    <r>
      <rPr>
        <vertAlign val="subscript"/>
        <sz val="10"/>
        <rFont val="Arial Nova"/>
        <family val="2"/>
      </rPr>
      <t>p3</t>
    </r>
  </si>
  <si>
    <t>Luz domiciliar</t>
  </si>
  <si>
    <r>
      <t>M</t>
    </r>
    <r>
      <rPr>
        <vertAlign val="subscript"/>
        <sz val="10"/>
        <rFont val="Arial Nova"/>
        <family val="2"/>
      </rPr>
      <t>p4</t>
    </r>
  </si>
  <si>
    <t>Guias-sarjetas</t>
  </si>
  <si>
    <r>
      <t>M</t>
    </r>
    <r>
      <rPr>
        <vertAlign val="subscript"/>
        <sz val="10"/>
        <rFont val="Arial Nova"/>
        <family val="2"/>
      </rPr>
      <t>p5</t>
    </r>
  </si>
  <si>
    <t>Pavimentação</t>
  </si>
  <si>
    <r>
      <t>M</t>
    </r>
    <r>
      <rPr>
        <vertAlign val="subscript"/>
        <sz val="10"/>
        <rFont val="Arial Nova"/>
        <family val="2"/>
      </rPr>
      <t>p6</t>
    </r>
  </si>
  <si>
    <t>Telefone</t>
  </si>
  <si>
    <r>
      <t>M</t>
    </r>
    <r>
      <rPr>
        <vertAlign val="subscript"/>
        <sz val="10"/>
        <rFont val="Arial Nova"/>
        <family val="2"/>
      </rPr>
      <t>p7</t>
    </r>
  </si>
  <si>
    <t>Fator correspondente ao somatório de coeficientes acima:</t>
  </si>
  <si>
    <r>
      <t xml:space="preserve">Somatório das porcentagens correspondentes aos melhoramentos públicos </t>
    </r>
    <r>
      <rPr>
        <b/>
        <sz val="10"/>
        <rFont val="Arial Nova"/>
        <family val="2"/>
      </rPr>
      <t>presentes no paradigma e ausentes no bem avaliando</t>
    </r>
  </si>
  <si>
    <t>Meloramentos públicos do bem avaliando</t>
  </si>
  <si>
    <t>Na ausência de alguns dos melhoramentos assinalados, o valor unitário básico deverá ser reduzido multiplicando-se este valor pela recíproca da unidade somada às porcentagens correspondentes aos melhoramentos não existentes (Canteiro, 1980, p. 116).</t>
  </si>
  <si>
    <r>
      <t>Fator do item da amostra (f</t>
    </r>
    <r>
      <rPr>
        <vertAlign val="subscript"/>
        <sz val="10"/>
        <rFont val="Arial Nova"/>
        <family val="2"/>
      </rPr>
      <t>tr</t>
    </r>
    <r>
      <rPr>
        <sz val="10"/>
        <rFont val="Arial Nova"/>
        <family val="2"/>
      </rPr>
      <t>)</t>
    </r>
  </si>
  <si>
    <r>
      <t>Fator do bem avaliando (f</t>
    </r>
    <r>
      <rPr>
        <vertAlign val="subscript"/>
        <sz val="10"/>
        <rFont val="Arial Nova"/>
        <family val="2"/>
      </rPr>
      <t>a</t>
    </r>
    <r>
      <rPr>
        <sz val="10"/>
        <rFont val="Arial Nova"/>
        <family val="2"/>
      </rPr>
      <t>)</t>
    </r>
  </si>
  <si>
    <t>Valor homogeneizado</t>
  </si>
  <si>
    <t>Amplitude do intervalo de confiança</t>
  </si>
  <si>
    <t>Amplitude do intervalo do campor arbítrio</t>
  </si>
  <si>
    <t>Avaliação do terreno</t>
  </si>
  <si>
    <t>Fontes:</t>
  </si>
  <si>
    <t>ABUNAHAM, S.A. Curso básico de engenharia legal e de avaliações. 4. ed. rev. e ampl. São Paulo: Pini, 2008.</t>
  </si>
  <si>
    <t>ARLEY, Niels; BUCH, Kai Rander. Introducción a la teoría de la probabilidad y de la estadística. Tradução: Fernando Bombal Gordón. Madrid: Editorial Alhambra S.A., 1968.</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</si>
  <si>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</si>
  <si>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</si>
  <si>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</si>
  <si>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FIKER, José. Avaliação de imóveis urbanos. 4. ed. rev. e ampl. São Paulo: Pini, 1993.</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</si>
  <si>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</si>
  <si>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</si>
  <si>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PELLEGRINO, José Carlos. Valor em marcha. In: Anais do I Congresso Brasileiro de Engenharia de Avaliações / [patrocínio do] Instituto Brasileiro de Avaliações e Perícias de Engenharia – IBAPE. São Paulo: Pini.</t>
  </si>
  <si>
    <t>MEDEIROS JÚNIOR, Joaquim da Rocha. Vantagem da coisa feita na avaliação de imóveis pelo método do custo. In: Engenharia de avaliações. Instituto Brasileiro de Avaliações e Perícias de Engenharia – IBAPE. São Paulo: Pini, 1974.</t>
  </si>
  <si>
    <t>MEDEIROS JÚNIOR, J.R.; PELLEGRINO, José Carlos. Método do custo: o terceiro componente. In: Avaliações para garantias: Instituto Brasileiro de Avaliações e Perícias de Engenharia. São Paulo: Pini, 1983.</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</si>
  <si>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</si>
  <si>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</si>
  <si>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</si>
  <si>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Avaliação das benfeitorias pelo critério residual</t>
  </si>
  <si>
    <t>Luz pública</t>
  </si>
  <si>
    <t>Excluir o acréscimo de valor decorrente da vantagem da coisa feita</t>
  </si>
  <si>
    <t>Recuperar a perda de valor decorrente da depreciação</t>
  </si>
  <si>
    <t>BASE DE CÁLCULO PARA AVALIAR O NOVO BEM (IMÓVEL AVALIANDO).</t>
  </si>
  <si>
    <t>ASSOCIAÇÃO BRASILEIRA DE NORMAS TÉCNICAS. NBR 12721:2006. Avaliação de custos unitários de construção para incorporação imobiliária e outras disposições para condomínios edifícios - Procedimento. </t>
  </si>
  <si>
    <r>
      <t xml:space="preserve">Para a avaliação de imóveis, assim considerados os terrenos sobre os quais foram construídas benfeitorias, podemos aplicar o método comparativo direto de dados de mercado com tratamento de dados por modelo de regressão linear múltipla, ou o método evolutivo. Nesse último método, terreno e benfeitorias são avaliados separadamente, sendo que o terreno é avaliado pelo método comparativo direto de dados de mercado, e as benfeitorias são avaliadas pelo método de quantificação do custo de reedição, que corresponde ao custo da reprodução de um bem em estado de novo, descontada a depreciação.
Tanto em um quanto em outro método, cabe ao avaliador, no caso o Oficial de Justiça, pesquisar no mercado a existência de elementos comparativos ou para avaliar o imóvel por modelo de regressão linear múltipla, ou para avaliar o terreno separadamente. Ocorre que, </t>
    </r>
    <r>
      <rPr>
        <u/>
        <sz val="11"/>
        <rFont val="Aptos"/>
        <family val="2"/>
      </rPr>
      <t>quando se aplica o método evolutivo, as benfeitorias são avaliadas pelo método de quantificação do custo reprodução descontada a depreciação</t>
    </r>
    <r>
      <rPr>
        <sz val="11"/>
        <rFont val="Aptos"/>
        <family val="2"/>
      </rPr>
      <t xml:space="preserve">. E, nesse ponto, temos verificado que, em alguns municípios, a aplicação do custo unitário básico informado pelo sindicato da construção civil está fornecendo resultados inconsistentes com a realidade local; ora esses valores estão acima da média praticada na região, ora estão abaixo da média praticada na região (art. 54 da Lei nº 5.591, de 16 de dezembro de 1964; NBR 12721:2006. Avaliação de custos unitários de construção para incorporação imobiliária e outras disposições para condomínios edifícios - Procedimento).
Portanto, o propósito deste estudo é atingir uma estimativa para </t>
    </r>
    <r>
      <rPr>
        <b/>
        <sz val="11"/>
        <rFont val="Aptos"/>
        <family val="2"/>
      </rPr>
      <t>quantia mais provável</t>
    </r>
    <r>
      <rPr>
        <sz val="11"/>
        <rFont val="Aptos"/>
        <family val="2"/>
      </rPr>
      <t xml:space="preserve"> do custo unitário básico real praticado na região.</t>
    </r>
  </si>
  <si>
    <r>
      <t xml:space="preserve">Exposto o problema, apresenta-se a abordagem tecnicamente válida para resolvê-lo, qual seja, realizar um estudo em que, a partir do valor de mercado de uma série de imóveis, seja possível extrair o valor do terreno e apurar, assim, o </t>
    </r>
    <r>
      <rPr>
        <u/>
        <sz val="11"/>
        <rFont val="Aptos"/>
        <family val="2"/>
      </rPr>
      <t>custo unitário específico das benfeitorias</t>
    </r>
    <r>
      <rPr>
        <sz val="11"/>
        <rFont val="Aptos"/>
        <family val="2"/>
      </rPr>
      <t xml:space="preserve">.
Na doutrina especializada, essa solução também é conhecida como critério residual  (Dantas, 1998, p. 42), com a observação de que também é possível, em </t>
    </r>
    <r>
      <rPr>
        <u/>
        <sz val="11"/>
        <rFont val="Aptos"/>
        <family val="2"/>
      </rPr>
      <t>sentido inverso</t>
    </r>
    <r>
      <rPr>
        <sz val="11"/>
        <rFont val="Aptos"/>
        <family val="2"/>
      </rPr>
      <t xml:space="preserve">, excluir do valor total do imóvel o valor das benfeitorias e, assim, </t>
    </r>
    <r>
      <rPr>
        <u/>
        <sz val="11"/>
        <rFont val="Aptos"/>
        <family val="2"/>
      </rPr>
      <t>apurar o valor de mercado do terreno</t>
    </r>
    <r>
      <rPr>
        <sz val="11"/>
        <rFont val="Aptos"/>
        <family val="2"/>
      </rPr>
      <t xml:space="preserve">. </t>
    </r>
  </si>
  <si>
    <r>
      <t>Portanto, na fase de homogeneização, os acréscimos decorrentes da aplicação do fator da vantagem da coisa feita serão excluídos, e as perdas decorrentes da depreciação serão restauradas. E, na fase de avaliação, uma vez apurado valor do paradigma, ou seja, a base de cálculo mais provável praticada na região, desse valor será descontada a depreciação e, no caso concreto, será aplicado novamente o fator da vantagem da coisa feita cabível.</t>
    </r>
    <r>
      <rPr>
        <b/>
        <sz val="11"/>
        <rFont val="Aptos"/>
        <family val="2"/>
      </rPr>
      <t xml:space="preserve"> </t>
    </r>
    <r>
      <rPr>
        <sz val="11"/>
        <rFont val="Aptos"/>
        <family val="2"/>
      </rPr>
      <t>Conforme a lição de Dantas, esse é o raciocínio inverso.</t>
    </r>
  </si>
  <si>
    <t>A amostra deve ser ajustada pelos fatores de oferta, e de vantagem da coisa feita; posteriormente, os valores do terreno e das benfeitorias serão desagrupados. O valor unitário das benfeitorias será homogeneizado pelo fator de depreciação calculado pelo método Ross-Heidecke, e o saneamento será realizados pelos modos: intervalo em torno da média, critério de Chauvenet, e critério de Arley. A base de cálculo será a média saneada pelo critério que tenha atingido o menor coeficiente de variação. Neste estudo, a média saneada será a base de cálculo para as benfeitorias em novas avaliações.</t>
  </si>
  <si>
    <r>
      <t>COEFICIENTE DA VANTAGEM DA COISA FEITA (</t>
    </r>
    <r>
      <rPr>
        <b/>
        <i/>
        <sz val="11"/>
        <color theme="0"/>
        <rFont val="Arial"/>
        <family val="2"/>
      </rPr>
      <t xml:space="preserve"> k</t>
    </r>
    <r>
      <rPr>
        <b/>
        <i/>
        <vertAlign val="subscript"/>
        <sz val="11"/>
        <color theme="0"/>
        <rFont val="Arial"/>
        <family val="2"/>
      </rPr>
      <t>cf</t>
    </r>
    <r>
      <rPr>
        <b/>
        <sz val="11"/>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</si>
</sst>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_ ;[Red]\-#,##0.00\ "/>
    <numFmt numFmtId="165" formatCode="0.000000"/>
    <numFmt numFmtId="166" formatCode="0.0000"/>
    <numFmt numFmtId="167" formatCode="#,##0_ ;[Red]\-#,##0\ "/>
    <numFmt numFmtId="168" formatCode="_-* #,##0.0000_-;\-* #,##0.0000_-;_-* &quot;-&quot;??_-;_-@_-"/>
    <numFmt numFmtId="169" formatCode="#,##0.000;[Red]\-#,##0.000"/>
    <numFmt numFmtId="170" formatCode="0.000"/>
    <numFmt numFmtId="171" formatCode="#,##0.000_ ;[Red]\-#,##0.000\ "/>
    <numFmt numFmtId="172" formatCode="#,##0.0000_ ;[Red]\-#,##0.0000\ "/>
  </numFmts>
  <fonts count="20" x14ac:knownFonts="1">
    <font>
      <sz val="11"/>
      <color theme="1"/>
      <name val="Aptos"/>
      <family val="2"/>
    </font>
    <font>
      <sz val="11"/>
      <color theme="1"/>
      <name val="Aptos"/>
      <family val="2"/>
    </font>
    <font>
      <b/>
      <sz val="11"/>
      <name val="Aptos"/>
      <family val="2"/>
    </font>
    <font>
      <sz val="11"/>
      <name val="Aptos"/>
      <family val="2"/>
    </font>
    <font>
      <sz val="11"/>
      <color theme="0"/>
      <name val="Aptos"/>
      <family val="2"/>
    </font>
    <font>
      <b/>
      <sz val="11"/>
      <color theme="0"/>
      <name val="Aptos"/>
      <family val="2"/>
    </font>
    <font>
      <b/>
      <sz val="11"/>
      <name val="Arial"/>
      <family val="2"/>
    </font>
    <font>
      <b/>
      <sz val="11"/>
      <color theme="0"/>
      <name val="Arial"/>
      <family val="2"/>
    </font>
    <font>
      <sz val="11"/>
      <name val="Arial"/>
      <family val="2"/>
    </font>
    <font>
      <u/>
      <sz val="11"/>
      <name val="Aptos"/>
      <family val="2"/>
    </font>
    <font>
      <sz val="10"/>
      <name val="Arial Nova"/>
      <family val="2"/>
    </font>
    <font>
      <sz val="10"/>
      <color theme="0"/>
      <name val="Arial Nova"/>
      <family val="2"/>
    </font>
    <font>
      <b/>
      <sz val="10"/>
      <name val="Arial Nova"/>
      <family val="2"/>
    </font>
    <font>
      <i/>
      <sz val="10"/>
      <name val="Aptos"/>
      <family val="2"/>
    </font>
    <font>
      <i/>
      <sz val="10"/>
      <name val="Arial Nova"/>
      <family val="2"/>
    </font>
    <font>
      <sz val="10"/>
      <name val="Aptos"/>
      <family val="2"/>
    </font>
    <font>
      <vertAlign val="subscript"/>
      <sz val="10"/>
      <name val="Aptos"/>
      <family val="2"/>
    </font>
    <font>
      <vertAlign val="subscript"/>
      <sz val="10"/>
      <name val="Arial Nova"/>
      <family val="2"/>
    </font>
    <font>
      <b/>
      <i/>
      <sz val="11"/>
      <color theme="0"/>
      <name val="Arial"/>
      <family val="2"/>
    </font>
    <font>
      <b/>
      <i/>
      <vertAlign val="subscript"/>
      <sz val="11"/>
      <color theme="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9" tint="0.79998168889431442"/>
        <bgColor indexed="64"/>
      </patternFill>
    </fill>
    <fill>
      <patternFill patternType="solid">
        <fgColor theme="3" tint="9.9978637043366805E-2"/>
        <bgColor indexed="64"/>
      </patternFill>
    </fill>
    <fill>
      <patternFill patternType="solid">
        <fgColor theme="3" tint="9.9978637043366805E-2"/>
        <bgColor rgb="FF3465A4"/>
      </patternFill>
    </fill>
    <fill>
      <patternFill patternType="solid">
        <fgColor theme="0" tint="-4.9989318521683403E-2"/>
        <bgColor rgb="FF3465A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s>
  <cellStyleXfs count="3">
    <xf numFmtId="164"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164" fontId="0" fillId="0" borderId="0" xfId="0"/>
    <xf numFmtId="164" fontId="4" fillId="0" borderId="0" xfId="0" applyFont="1" applyAlignment="1" applyProtection="1">
      <alignment vertical="center" wrapText="1"/>
      <protection hidden="1"/>
    </xf>
    <xf numFmtId="167" fontId="4" fillId="0" borderId="0" xfId="0" applyNumberFormat="1" applyFont="1" applyAlignment="1" applyProtection="1">
      <alignment vertical="center" wrapText="1"/>
      <protection hidden="1"/>
    </xf>
    <xf numFmtId="10" fontId="4" fillId="0" borderId="0" xfId="2" applyNumberFormat="1" applyFont="1" applyAlignment="1" applyProtection="1">
      <alignment vertical="center" wrapText="1"/>
      <protection hidden="1"/>
    </xf>
    <xf numFmtId="171" fontId="4" fillId="0" borderId="0" xfId="0" applyNumberFormat="1" applyFont="1" applyAlignment="1" applyProtection="1">
      <alignment vertical="center" wrapText="1"/>
      <protection hidden="1"/>
    </xf>
    <xf numFmtId="164" fontId="4" fillId="0" borderId="0" xfId="0" applyFont="1" applyAlignment="1" applyProtection="1">
      <alignment horizontal="center" vertical="center" wrapText="1"/>
      <protection hidden="1"/>
    </xf>
    <xf numFmtId="164" fontId="4" fillId="0" borderId="0" xfId="0" applyFont="1" applyAlignment="1">
      <alignment horizontal="justify" vertical="top" wrapText="1"/>
    </xf>
    <xf numFmtId="170" fontId="4" fillId="0" borderId="0" xfId="0" applyNumberFormat="1" applyFont="1" applyAlignment="1">
      <alignment horizontal="justify" vertical="top" wrapText="1"/>
    </xf>
    <xf numFmtId="169" fontId="4" fillId="0" borderId="0" xfId="0" applyNumberFormat="1" applyFont="1" applyAlignment="1">
      <alignment horizontal="right" vertical="center" wrapText="1"/>
    </xf>
    <xf numFmtId="170" fontId="4" fillId="0" borderId="0" xfId="0" applyNumberFormat="1" applyFont="1" applyAlignment="1">
      <alignment horizontal="right" vertical="center" wrapText="1"/>
    </xf>
    <xf numFmtId="164" fontId="3" fillId="0" borderId="0" xfId="0" applyFont="1" applyAlignment="1">
      <alignment horizontal="justify" vertical="top" wrapText="1"/>
    </xf>
    <xf numFmtId="164" fontId="8" fillId="0" borderId="0" xfId="0" applyFont="1" applyAlignment="1">
      <alignment wrapText="1"/>
    </xf>
    <xf numFmtId="164" fontId="3" fillId="0" borderId="0" xfId="0" applyFont="1" applyAlignment="1">
      <alignment vertical="top" wrapText="1"/>
    </xf>
    <xf numFmtId="164" fontId="4" fillId="0" borderId="0" xfId="0" applyFont="1" applyAlignment="1" applyProtection="1">
      <alignment horizontal="centerContinuous" vertical="center" wrapText="1"/>
      <protection hidden="1"/>
    </xf>
    <xf numFmtId="164" fontId="5" fillId="0" borderId="0" xfId="0" applyFont="1" applyAlignment="1" applyProtection="1">
      <alignment horizontal="centerContinuous" vertical="center" wrapText="1"/>
      <protection hidden="1"/>
    </xf>
    <xf numFmtId="164" fontId="5" fillId="0" borderId="0" xfId="0" applyFont="1" applyAlignment="1" applyProtection="1">
      <alignment vertical="center" wrapText="1"/>
      <protection hidden="1"/>
    </xf>
    <xf numFmtId="9" fontId="4" fillId="0" borderId="0" xfId="2" applyFont="1" applyFill="1" applyBorder="1" applyAlignment="1" applyProtection="1">
      <alignment vertical="center" wrapText="1"/>
      <protection hidden="1"/>
    </xf>
    <xf numFmtId="10" fontId="4" fillId="0" borderId="0" xfId="2" applyNumberFormat="1" applyFont="1" applyFill="1" applyBorder="1" applyAlignment="1" applyProtection="1">
      <alignment vertical="center" wrapText="1"/>
      <protection hidden="1"/>
    </xf>
    <xf numFmtId="165" fontId="4" fillId="0" borderId="0" xfId="1" applyNumberFormat="1" applyFont="1" applyFill="1" applyBorder="1" applyAlignment="1" applyProtection="1">
      <alignment vertical="center" wrapText="1"/>
      <protection hidden="1"/>
    </xf>
    <xf numFmtId="1" fontId="4" fillId="0" borderId="0" xfId="1" applyNumberFormat="1" applyFont="1" applyFill="1" applyBorder="1" applyAlignment="1" applyProtection="1">
      <alignment vertical="center" wrapText="1"/>
      <protection hidden="1"/>
    </xf>
    <xf numFmtId="164" fontId="5" fillId="0" borderId="0" xfId="0" applyFont="1" applyAlignment="1" applyProtection="1">
      <alignment horizontal="center" vertical="center" wrapText="1"/>
      <protection hidden="1"/>
    </xf>
    <xf numFmtId="164" fontId="3" fillId="0" borderId="0" xfId="0" applyFont="1" applyAlignment="1" applyProtection="1">
      <alignment vertical="center" wrapText="1"/>
      <protection locked="0"/>
    </xf>
    <xf numFmtId="164" fontId="3" fillId="0" borderId="1" xfId="0" applyFont="1" applyBorder="1" applyAlignment="1" applyProtection="1">
      <alignment vertical="center" wrapText="1"/>
      <protection locked="0"/>
    </xf>
    <xf numFmtId="167" fontId="3" fillId="0" borderId="1" xfId="0" applyNumberFormat="1" applyFont="1" applyBorder="1" applyAlignment="1" applyProtection="1">
      <alignment vertical="center" wrapText="1"/>
      <protection locked="0"/>
    </xf>
    <xf numFmtId="164" fontId="3" fillId="0" borderId="0" xfId="0" applyFont="1" applyAlignment="1" applyProtection="1">
      <alignment horizontal="justify" vertical="center" wrapText="1"/>
      <protection locked="0"/>
    </xf>
    <xf numFmtId="167" fontId="3" fillId="4" borderId="1" xfId="0" applyNumberFormat="1" applyFont="1" applyFill="1" applyBorder="1" applyAlignment="1" applyProtection="1">
      <alignment horizontal="right" vertical="center" wrapText="1"/>
      <protection locked="0"/>
    </xf>
    <xf numFmtId="164" fontId="3" fillId="0" borderId="0" xfId="0" applyFont="1" applyAlignment="1" applyProtection="1">
      <alignment vertical="center" wrapText="1"/>
      <protection hidden="1"/>
    </xf>
    <xf numFmtId="164" fontId="7" fillId="0" borderId="0" xfId="0" applyFont="1" applyAlignment="1">
      <alignment horizontal="center" vertical="center" wrapText="1"/>
    </xf>
    <xf numFmtId="167"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164" fontId="4" fillId="0" borderId="0" xfId="0" applyFont="1" applyAlignment="1">
      <alignment horizontal="right" vertical="center" wrapText="1"/>
    </xf>
    <xf numFmtId="164" fontId="10" fillId="3" borderId="0" xfId="0" applyFont="1" applyFill="1" applyAlignment="1" applyProtection="1">
      <alignment vertical="center" wrapText="1"/>
      <protection hidden="1"/>
    </xf>
    <xf numFmtId="164" fontId="10" fillId="0" borderId="0" xfId="0" applyFont="1" applyAlignment="1" applyProtection="1">
      <alignment horizontal="left" vertical="center" wrapText="1"/>
      <protection hidden="1"/>
    </xf>
    <xf numFmtId="164" fontId="11" fillId="0" borderId="0" xfId="0" applyFont="1" applyAlignment="1" applyProtection="1">
      <alignment vertical="center" wrapText="1"/>
      <protection hidden="1"/>
    </xf>
    <xf numFmtId="164" fontId="10" fillId="0" borderId="0" xfId="0" applyFont="1" applyAlignment="1" applyProtection="1">
      <alignment vertical="center" wrapText="1"/>
      <protection hidden="1"/>
    </xf>
    <xf numFmtId="164" fontId="10" fillId="2" borderId="1" xfId="0" applyFont="1" applyFill="1" applyBorder="1" applyAlignment="1" applyProtection="1">
      <alignment horizontal="center" vertical="center" wrapText="1"/>
      <protection hidden="1"/>
    </xf>
    <xf numFmtId="164" fontId="10" fillId="0" borderId="1" xfId="0" applyFont="1" applyBorder="1" applyAlignment="1" applyProtection="1">
      <alignment vertical="center" wrapText="1"/>
      <protection hidden="1"/>
    </xf>
    <xf numFmtId="164" fontId="13" fillId="0" borderId="0" xfId="0" applyFont="1" applyAlignment="1" applyProtection="1">
      <alignment horizontal="center" vertical="center" wrapText="1"/>
      <protection hidden="1"/>
    </xf>
    <xf numFmtId="164" fontId="14" fillId="0" borderId="0" xfId="0" applyFont="1" applyAlignment="1" applyProtection="1">
      <alignment horizontal="center" vertical="center" wrapText="1"/>
      <protection hidden="1"/>
    </xf>
    <xf numFmtId="164" fontId="10" fillId="0" borderId="2" xfId="0" applyFont="1" applyBorder="1" applyAlignment="1" applyProtection="1">
      <alignment vertical="center" wrapText="1"/>
      <protection hidden="1"/>
    </xf>
    <xf numFmtId="164" fontId="10" fillId="0" borderId="2" xfId="0" applyFont="1" applyBorder="1" applyAlignment="1" applyProtection="1">
      <alignment horizontal="left" vertical="center" wrapText="1"/>
      <protection hidden="1"/>
    </xf>
    <xf numFmtId="164" fontId="10" fillId="2" borderId="0" xfId="0" applyFont="1" applyFill="1" applyAlignment="1" applyProtection="1">
      <alignment horizontal="center" vertical="center" wrapText="1"/>
      <protection hidden="1"/>
    </xf>
    <xf numFmtId="164" fontId="10" fillId="2" borderId="7" xfId="0" applyFont="1" applyFill="1" applyBorder="1" applyAlignment="1" applyProtection="1">
      <alignment vertical="center" wrapText="1"/>
      <protection hidden="1"/>
    </xf>
    <xf numFmtId="164" fontId="10" fillId="0" borderId="7" xfId="0" applyFont="1" applyBorder="1" applyAlignment="1" applyProtection="1">
      <alignment vertical="center" wrapText="1"/>
      <protection hidden="1"/>
    </xf>
    <xf numFmtId="9" fontId="10" fillId="0" borderId="0" xfId="2" applyFont="1" applyAlignment="1" applyProtection="1">
      <alignment vertical="center" wrapText="1"/>
      <protection hidden="1"/>
    </xf>
    <xf numFmtId="9" fontId="10" fillId="0" borderId="0" xfId="0" applyNumberFormat="1" applyFont="1" applyAlignment="1" applyProtection="1">
      <alignment vertical="center" wrapText="1"/>
      <protection hidden="1"/>
    </xf>
    <xf numFmtId="43" fontId="10" fillId="0" borderId="0" xfId="1" applyFont="1" applyAlignment="1" applyProtection="1">
      <alignment vertical="center" wrapText="1"/>
      <protection hidden="1"/>
    </xf>
    <xf numFmtId="164" fontId="10" fillId="2" borderId="1" xfId="0" applyFont="1" applyFill="1" applyBorder="1" applyAlignment="1" applyProtection="1">
      <alignment vertical="center" wrapText="1"/>
      <protection hidden="1"/>
    </xf>
    <xf numFmtId="4" fontId="10" fillId="0" borderId="2" xfId="2" applyNumberFormat="1" applyFont="1" applyFill="1" applyBorder="1" applyAlignment="1" applyProtection="1">
      <alignment horizontal="right" vertical="center" wrapText="1" readingOrder="1"/>
      <protection hidden="1"/>
    </xf>
    <xf numFmtId="4" fontId="10" fillId="0" borderId="3" xfId="2" applyNumberFormat="1" applyFont="1" applyFill="1" applyBorder="1" applyAlignment="1" applyProtection="1">
      <alignment horizontal="right" vertical="center" wrapText="1" readingOrder="1"/>
      <protection hidden="1"/>
    </xf>
    <xf numFmtId="4" fontId="10" fillId="0" borderId="7" xfId="2" applyNumberFormat="1" applyFont="1" applyFill="1" applyBorder="1" applyAlignment="1" applyProtection="1">
      <alignment horizontal="right" vertical="center" wrapText="1" readingOrder="1"/>
      <protection hidden="1"/>
    </xf>
    <xf numFmtId="164" fontId="10" fillId="2" borderId="3" xfId="0" applyFont="1" applyFill="1" applyBorder="1" applyAlignment="1" applyProtection="1">
      <alignment horizontal="center" vertical="center" wrapText="1"/>
      <protection hidden="1"/>
    </xf>
    <xf numFmtId="10" fontId="10" fillId="0" borderId="0" xfId="2" applyNumberFormat="1" applyFont="1" applyBorder="1" applyAlignment="1" applyProtection="1">
      <alignment horizontal="right" vertical="center" wrapText="1"/>
      <protection hidden="1"/>
    </xf>
    <xf numFmtId="165" fontId="11" fillId="0" borderId="0" xfId="1" applyNumberFormat="1" applyFont="1" applyBorder="1" applyAlignment="1" applyProtection="1">
      <alignment horizontal="right" vertical="center" wrapText="1"/>
      <protection hidden="1"/>
    </xf>
    <xf numFmtId="10" fontId="11" fillId="0" borderId="0" xfId="0" applyNumberFormat="1" applyFont="1" applyAlignment="1" applyProtection="1">
      <alignment vertical="center" wrapText="1"/>
      <protection hidden="1"/>
    </xf>
    <xf numFmtId="4" fontId="11" fillId="0" borderId="0" xfId="0" applyNumberFormat="1" applyFont="1" applyAlignment="1" applyProtection="1">
      <alignment vertical="center" wrapText="1"/>
      <protection hidden="1"/>
    </xf>
    <xf numFmtId="167" fontId="11" fillId="0" borderId="0" xfId="0" applyNumberFormat="1" applyFont="1" applyAlignment="1" applyProtection="1">
      <alignment vertical="center" wrapText="1"/>
      <protection hidden="1"/>
    </xf>
    <xf numFmtId="164" fontId="3" fillId="0" borderId="0" xfId="0" applyFont="1" applyAlignment="1" applyProtection="1">
      <alignment horizontal="justify" vertical="center" wrapText="1"/>
      <protection hidden="1"/>
    </xf>
    <xf numFmtId="2" fontId="10" fillId="0" borderId="2" xfId="0" applyNumberFormat="1" applyFont="1" applyBorder="1" applyAlignment="1" applyProtection="1">
      <alignment horizontal="right" vertical="center" wrapText="1"/>
      <protection hidden="1"/>
    </xf>
    <xf numFmtId="164" fontId="3" fillId="0" borderId="1" xfId="0" applyFont="1" applyBorder="1" applyAlignment="1" applyProtection="1">
      <alignment vertical="center" wrapText="1"/>
      <protection hidden="1"/>
    </xf>
    <xf numFmtId="164" fontId="3" fillId="0" borderId="2" xfId="0" applyFont="1" applyBorder="1" applyAlignment="1" applyProtection="1">
      <alignment vertical="center" wrapText="1"/>
      <protection hidden="1"/>
    </xf>
    <xf numFmtId="164" fontId="3" fillId="0" borderId="6" xfId="0" applyFont="1" applyBorder="1" applyAlignment="1" applyProtection="1">
      <alignment vertical="center" wrapText="1"/>
      <protection hidden="1"/>
    </xf>
    <xf numFmtId="167" fontId="3" fillId="0" borderId="1" xfId="0" applyNumberFormat="1" applyFont="1" applyBorder="1" applyAlignment="1" applyProtection="1">
      <alignment vertical="center" wrapText="1"/>
      <protection hidden="1"/>
    </xf>
    <xf numFmtId="172" fontId="3" fillId="0" borderId="2" xfId="0" applyNumberFormat="1" applyFont="1" applyBorder="1" applyAlignment="1" applyProtection="1">
      <alignment vertical="center" wrapText="1"/>
      <protection hidden="1"/>
    </xf>
    <xf numFmtId="164" fontId="3" fillId="0" borderId="0" xfId="0" applyFont="1" applyAlignment="1" applyProtection="1">
      <alignment horizontal="left" vertical="center" wrapText="1"/>
      <protection hidden="1"/>
    </xf>
    <xf numFmtId="167" fontId="3" fillId="0" borderId="0" xfId="0" applyNumberFormat="1" applyFont="1" applyAlignment="1" applyProtection="1">
      <alignment vertical="center" wrapText="1"/>
      <protection hidden="1"/>
    </xf>
    <xf numFmtId="2" fontId="3" fillId="0" borderId="1" xfId="0" applyNumberFormat="1" applyFont="1" applyBorder="1" applyAlignment="1" applyProtection="1">
      <alignment vertical="center" wrapText="1"/>
      <protection hidden="1"/>
    </xf>
    <xf numFmtId="10" fontId="3" fillId="0" borderId="1" xfId="2" applyNumberFormat="1" applyFont="1" applyBorder="1" applyAlignment="1" applyProtection="1">
      <alignment vertical="center" wrapText="1"/>
      <protection hidden="1"/>
    </xf>
    <xf numFmtId="168" fontId="3" fillId="0" borderId="1" xfId="1" applyNumberFormat="1" applyFont="1" applyBorder="1" applyAlignment="1" applyProtection="1">
      <alignment vertical="center" wrapText="1"/>
      <protection hidden="1"/>
    </xf>
    <xf numFmtId="166" fontId="3" fillId="0" borderId="1" xfId="2" applyNumberFormat="1" applyFont="1" applyBorder="1" applyAlignment="1" applyProtection="1">
      <alignment vertical="center" wrapText="1"/>
      <protection hidden="1"/>
    </xf>
    <xf numFmtId="9" fontId="3" fillId="0" borderId="1" xfId="2" applyFont="1" applyBorder="1" applyAlignment="1" applyProtection="1">
      <alignment vertical="center" wrapText="1"/>
      <protection hidden="1"/>
    </xf>
    <xf numFmtId="164" fontId="3" fillId="2" borderId="1" xfId="0" applyFont="1" applyFill="1" applyBorder="1" applyAlignment="1" applyProtection="1">
      <alignment horizontal="center" vertical="center" wrapText="1"/>
      <protection hidden="1"/>
    </xf>
    <xf numFmtId="167" fontId="3" fillId="0" borderId="2" xfId="0" applyNumberFormat="1" applyFont="1" applyBorder="1" applyAlignment="1" applyProtection="1">
      <alignment vertical="center" wrapText="1"/>
      <protection hidden="1"/>
    </xf>
    <xf numFmtId="1" fontId="3" fillId="0" borderId="1" xfId="1" applyNumberFormat="1" applyFont="1" applyBorder="1" applyAlignment="1" applyProtection="1">
      <alignment vertical="center" wrapText="1"/>
      <protection hidden="1"/>
    </xf>
    <xf numFmtId="165" fontId="3" fillId="0" borderId="2" xfId="1" applyNumberFormat="1" applyFont="1" applyBorder="1" applyAlignment="1" applyProtection="1">
      <alignment vertical="center" wrapText="1"/>
      <protection hidden="1"/>
    </xf>
    <xf numFmtId="10" fontId="3" fillId="0" borderId="0" xfId="2" applyNumberFormat="1" applyFont="1" applyBorder="1" applyAlignment="1" applyProtection="1">
      <alignment vertical="center" wrapText="1"/>
      <protection hidden="1"/>
    </xf>
    <xf numFmtId="10" fontId="3" fillId="0" borderId="2" xfId="2" applyNumberFormat="1" applyFont="1" applyBorder="1" applyAlignment="1" applyProtection="1">
      <alignment vertical="center" wrapText="1"/>
      <protection hidden="1"/>
    </xf>
    <xf numFmtId="1" fontId="3" fillId="0" borderId="2" xfId="1" applyNumberFormat="1" applyFont="1" applyBorder="1" applyAlignment="1" applyProtection="1">
      <alignment vertical="center" wrapText="1"/>
      <protection hidden="1"/>
    </xf>
    <xf numFmtId="165" fontId="4" fillId="0" borderId="0" xfId="1" applyNumberFormat="1" applyFont="1" applyBorder="1" applyAlignment="1" applyProtection="1">
      <alignment horizontal="right" vertical="center" wrapText="1"/>
      <protection hidden="1"/>
    </xf>
    <xf numFmtId="10" fontId="4" fillId="0" borderId="0" xfId="0" applyNumberFormat="1" applyFont="1" applyAlignment="1" applyProtection="1">
      <alignment vertical="center" wrapText="1"/>
      <protection hidden="1"/>
    </xf>
    <xf numFmtId="164" fontId="4" fillId="0" borderId="0" xfId="0" applyFont="1" applyAlignment="1" applyProtection="1">
      <alignment horizontal="justify" vertical="center" wrapText="1"/>
      <protection hidden="1"/>
    </xf>
    <xf numFmtId="164" fontId="10" fillId="0" borderId="0" xfId="0" applyFont="1" applyAlignment="1" applyProtection="1">
      <alignment vertical="center" wrapText="1"/>
      <protection hidden="1"/>
    </xf>
    <xf numFmtId="164" fontId="10" fillId="0" borderId="0" xfId="0" applyFont="1" applyAlignment="1" applyProtection="1">
      <alignment horizontal="left" vertical="center" wrapText="1"/>
      <protection hidden="1"/>
    </xf>
    <xf numFmtId="164" fontId="10" fillId="0" borderId="2" xfId="0" applyFont="1" applyBorder="1" applyAlignment="1" applyProtection="1">
      <alignment vertical="center" wrapText="1"/>
      <protection hidden="1"/>
    </xf>
    <xf numFmtId="164" fontId="10" fillId="0" borderId="2" xfId="0" applyFont="1" applyBorder="1" applyAlignment="1" applyProtection="1">
      <alignment horizontal="right" vertical="center" wrapText="1"/>
      <protection hidden="1"/>
    </xf>
    <xf numFmtId="10" fontId="10" fillId="0" borderId="2" xfId="0" applyNumberFormat="1" applyFont="1" applyBorder="1" applyAlignment="1" applyProtection="1">
      <alignment vertical="center" wrapText="1"/>
      <protection hidden="1"/>
    </xf>
    <xf numFmtId="164" fontId="10" fillId="0" borderId="1" xfId="0" applyFont="1" applyBorder="1" applyAlignment="1" applyProtection="1">
      <alignment vertical="center" wrapText="1"/>
      <protection hidden="1"/>
    </xf>
    <xf numFmtId="10" fontId="10" fillId="0" borderId="1" xfId="0" applyNumberFormat="1" applyFont="1" applyBorder="1" applyAlignment="1" applyProtection="1">
      <alignment vertical="center" wrapText="1"/>
      <protection hidden="1"/>
    </xf>
    <xf numFmtId="10" fontId="10" fillId="0" borderId="0" xfId="0" applyNumberFormat="1" applyFont="1" applyAlignment="1" applyProtection="1">
      <alignment vertical="center" wrapText="1"/>
      <protection hidden="1"/>
    </xf>
    <xf numFmtId="10" fontId="10" fillId="0" borderId="1" xfId="2" applyNumberFormat="1" applyFont="1" applyBorder="1" applyAlignment="1" applyProtection="1">
      <alignment horizontal="right" vertical="center" wrapText="1"/>
      <protection hidden="1"/>
    </xf>
    <xf numFmtId="164" fontId="12" fillId="2" borderId="0" xfId="0" applyFont="1" applyFill="1" applyAlignment="1" applyProtection="1">
      <alignment horizontal="center" vertical="center" wrapText="1"/>
      <protection hidden="1"/>
    </xf>
    <xf numFmtId="164" fontId="10" fillId="0" borderId="1" xfId="0" applyFont="1" applyBorder="1" applyAlignment="1" applyProtection="1">
      <alignment horizontal="right" vertical="center" wrapText="1"/>
      <protection hidden="1"/>
    </xf>
    <xf numFmtId="1" fontId="10" fillId="0" borderId="2" xfId="1" applyNumberFormat="1" applyFont="1" applyBorder="1" applyAlignment="1" applyProtection="1">
      <alignment horizontal="right" vertical="center" wrapText="1"/>
      <protection hidden="1"/>
    </xf>
    <xf numFmtId="165" fontId="10" fillId="0" borderId="2" xfId="1" applyNumberFormat="1" applyFont="1" applyBorder="1" applyAlignment="1" applyProtection="1">
      <alignment horizontal="right" vertical="center" wrapText="1"/>
      <protection hidden="1"/>
    </xf>
    <xf numFmtId="164" fontId="5" fillId="5" borderId="0" xfId="0" applyFont="1" applyFill="1" applyAlignment="1" applyProtection="1">
      <alignment vertical="center" wrapText="1"/>
      <protection locked="0"/>
    </xf>
    <xf numFmtId="164" fontId="10" fillId="2" borderId="0" xfId="0" applyFont="1" applyFill="1" applyAlignment="1" applyProtection="1">
      <alignment horizontal="center" vertical="center" wrapText="1"/>
      <protection hidden="1"/>
    </xf>
    <xf numFmtId="1" fontId="10" fillId="0" borderId="1" xfId="1" applyNumberFormat="1" applyFont="1" applyBorder="1" applyAlignment="1" applyProtection="1">
      <alignment vertical="center" wrapText="1"/>
      <protection hidden="1"/>
    </xf>
    <xf numFmtId="164" fontId="12" fillId="2" borderId="0" xfId="0" applyFont="1" applyFill="1" applyAlignment="1" applyProtection="1">
      <alignment horizontal="left" vertical="center" wrapText="1"/>
      <protection hidden="1"/>
    </xf>
    <xf numFmtId="10" fontId="10" fillId="0" borderId="2" xfId="2" applyNumberFormat="1" applyFont="1" applyBorder="1" applyAlignment="1" applyProtection="1">
      <alignment vertical="center" wrapText="1"/>
      <protection hidden="1"/>
    </xf>
    <xf numFmtId="1" fontId="10" fillId="0" borderId="1" xfId="1" applyNumberFormat="1" applyFont="1" applyBorder="1" applyAlignment="1" applyProtection="1">
      <alignment horizontal="right" vertical="center" wrapText="1"/>
      <protection hidden="1"/>
    </xf>
    <xf numFmtId="10" fontId="10" fillId="0" borderId="1" xfId="2" applyNumberFormat="1" applyFont="1" applyBorder="1" applyAlignment="1" applyProtection="1">
      <alignment vertical="center" wrapText="1"/>
      <protection hidden="1"/>
    </xf>
    <xf numFmtId="164" fontId="10" fillId="2" borderId="1" xfId="0" applyFont="1" applyFill="1" applyBorder="1" applyAlignment="1" applyProtection="1">
      <alignment horizontal="center" vertical="center" wrapText="1"/>
      <protection hidden="1"/>
    </xf>
    <xf numFmtId="9" fontId="10" fillId="0" borderId="1" xfId="2" applyFont="1" applyBorder="1" applyAlignment="1" applyProtection="1">
      <alignment vertical="center" wrapText="1"/>
      <protection hidden="1"/>
    </xf>
    <xf numFmtId="164" fontId="10" fillId="0" borderId="7" xfId="0" applyFont="1" applyBorder="1" applyAlignment="1" applyProtection="1">
      <alignment vertical="center" wrapText="1"/>
      <protection hidden="1"/>
    </xf>
    <xf numFmtId="164" fontId="10" fillId="0" borderId="7" xfId="0" applyFont="1" applyBorder="1" applyAlignment="1" applyProtection="1">
      <alignment horizontal="right" vertical="center" wrapText="1"/>
      <protection hidden="1"/>
    </xf>
    <xf numFmtId="164" fontId="10" fillId="0" borderId="0" xfId="0" applyFont="1" applyAlignment="1" applyProtection="1">
      <alignment horizontal="right" vertical="center" wrapText="1"/>
      <protection hidden="1"/>
    </xf>
    <xf numFmtId="164" fontId="10" fillId="0" borderId="7" xfId="0" applyFont="1" applyBorder="1" applyAlignment="1" applyProtection="1">
      <alignment horizontal="center" vertical="center" wrapText="1"/>
      <protection hidden="1"/>
    </xf>
    <xf numFmtId="164" fontId="10" fillId="0" borderId="1" xfId="0" applyFont="1" applyBorder="1" applyAlignment="1" applyProtection="1">
      <alignment horizontal="center" vertical="center" wrapText="1"/>
      <protection hidden="1"/>
    </xf>
    <xf numFmtId="164" fontId="10" fillId="0" borderId="2" xfId="0" applyFont="1" applyBorder="1" applyAlignment="1" applyProtection="1">
      <alignment horizontal="center" vertical="center" wrapText="1"/>
      <protection hidden="1"/>
    </xf>
    <xf numFmtId="164" fontId="10" fillId="0" borderId="0" xfId="0" applyFont="1" applyAlignment="1" applyProtection="1">
      <alignment horizontal="justify" vertical="center" wrapText="1"/>
      <protection hidden="1"/>
    </xf>
    <xf numFmtId="164" fontId="10" fillId="0" borderId="1" xfId="0" applyFont="1" applyBorder="1" applyAlignment="1" applyProtection="1">
      <alignment horizontal="justify" vertical="center" wrapText="1"/>
      <protection hidden="1"/>
    </xf>
    <xf numFmtId="4" fontId="10" fillId="0" borderId="1" xfId="0" applyNumberFormat="1" applyFont="1" applyBorder="1" applyAlignment="1" applyProtection="1">
      <alignment horizontal="right" vertical="center" wrapText="1"/>
      <protection hidden="1"/>
    </xf>
    <xf numFmtId="164" fontId="12" fillId="2" borderId="3" xfId="0" applyFont="1" applyFill="1" applyBorder="1" applyAlignment="1" applyProtection="1">
      <alignment horizontal="center" vertical="center" wrapText="1"/>
      <protection hidden="1"/>
    </xf>
    <xf numFmtId="164" fontId="12" fillId="2" borderId="1" xfId="0" applyFont="1" applyFill="1" applyBorder="1" applyAlignment="1" applyProtection="1">
      <alignment horizontal="center" vertical="center" wrapText="1"/>
      <protection hidden="1"/>
    </xf>
    <xf numFmtId="164" fontId="10" fillId="0" borderId="3" xfId="0" applyFont="1" applyBorder="1" applyAlignment="1" applyProtection="1">
      <alignment horizontal="center" vertical="center" wrapText="1"/>
      <protection hidden="1"/>
    </xf>
    <xf numFmtId="4" fontId="10" fillId="0" borderId="2" xfId="2" applyNumberFormat="1" applyFont="1" applyFill="1" applyBorder="1" applyAlignment="1" applyProtection="1">
      <alignment horizontal="right" vertical="center" wrapText="1" readingOrder="1"/>
      <protection hidden="1"/>
    </xf>
    <xf numFmtId="4" fontId="10" fillId="0" borderId="0" xfId="2" applyNumberFormat="1" applyFont="1" applyFill="1" applyAlignment="1" applyProtection="1">
      <alignment horizontal="right" vertical="center" wrapText="1" readingOrder="1"/>
      <protection hidden="1"/>
    </xf>
    <xf numFmtId="164" fontId="15" fillId="0" borderId="2" xfId="0" applyFont="1" applyBorder="1" applyAlignment="1" applyProtection="1">
      <alignment vertical="center" wrapText="1"/>
      <protection hidden="1"/>
    </xf>
    <xf numFmtId="164" fontId="15" fillId="0" borderId="2" xfId="0" applyFont="1" applyBorder="1" applyAlignment="1" applyProtection="1">
      <alignment horizontal="center" vertical="center" wrapText="1"/>
      <protection hidden="1"/>
    </xf>
    <xf numFmtId="164" fontId="15" fillId="0" borderId="0" xfId="0" applyFont="1" applyAlignment="1" applyProtection="1">
      <alignment horizontal="center" vertical="center" wrapText="1"/>
      <protection hidden="1"/>
    </xf>
    <xf numFmtId="164" fontId="15" fillId="2" borderId="1" xfId="0" applyFont="1" applyFill="1" applyBorder="1" applyAlignment="1" applyProtection="1">
      <alignment horizontal="center" vertical="center" wrapText="1"/>
      <protection hidden="1"/>
    </xf>
    <xf numFmtId="164" fontId="12" fillId="0" borderId="3" xfId="0" applyFont="1" applyBorder="1" applyAlignment="1" applyProtection="1">
      <alignment horizontal="center" vertical="center" wrapText="1"/>
      <protection hidden="1"/>
    </xf>
    <xf numFmtId="164" fontId="10" fillId="0" borderId="0" xfId="0" applyFont="1" applyAlignment="1" applyProtection="1">
      <alignment horizontal="center" vertical="center" wrapText="1"/>
      <protection hidden="1"/>
    </xf>
    <xf numFmtId="164" fontId="3" fillId="0" borderId="0" xfId="0" applyFont="1" applyAlignment="1" applyProtection="1">
      <alignment horizontal="justify" vertical="center" wrapText="1"/>
      <protection locked="0"/>
    </xf>
    <xf numFmtId="164" fontId="10" fillId="0" borderId="4" xfId="0" applyFont="1" applyBorder="1" applyAlignment="1" applyProtection="1">
      <alignment horizontal="center" vertical="center" wrapText="1"/>
      <protection hidden="1"/>
    </xf>
    <xf numFmtId="164" fontId="10" fillId="2" borderId="4" xfId="0" applyFont="1" applyFill="1" applyBorder="1" applyAlignment="1" applyProtection="1">
      <alignment horizontal="center" vertical="center" wrapText="1"/>
      <protection hidden="1"/>
    </xf>
    <xf numFmtId="167" fontId="10" fillId="0" borderId="4" xfId="0" applyNumberFormat="1" applyFont="1" applyBorder="1" applyAlignment="1" applyProtection="1">
      <alignment horizontal="center" vertical="center" wrapText="1"/>
      <protection hidden="1"/>
    </xf>
    <xf numFmtId="167" fontId="10" fillId="2" borderId="4" xfId="0" applyNumberFormat="1" applyFont="1" applyFill="1" applyBorder="1" applyAlignment="1" applyProtection="1">
      <alignment horizontal="center" vertical="center" wrapText="1"/>
      <protection hidden="1"/>
    </xf>
    <xf numFmtId="164" fontId="12" fillId="0" borderId="0" xfId="0" applyFont="1" applyAlignment="1" applyProtection="1">
      <alignment horizontal="center" vertical="center" wrapText="1"/>
      <protection hidden="1"/>
    </xf>
    <xf numFmtId="164" fontId="12" fillId="0" borderId="4" xfId="0" applyFont="1" applyBorder="1" applyAlignment="1" applyProtection="1">
      <alignment horizontal="center" vertical="center" wrapText="1"/>
      <protection hidden="1"/>
    </xf>
    <xf numFmtId="164" fontId="3" fillId="0" borderId="1" xfId="0" applyFont="1" applyBorder="1" applyAlignment="1" applyProtection="1">
      <alignment vertical="center" wrapText="1"/>
      <protection hidden="1"/>
    </xf>
    <xf numFmtId="164" fontId="2" fillId="0" borderId="1" xfId="0" applyFont="1" applyBorder="1" applyAlignment="1" applyProtection="1">
      <alignment horizontal="left" vertical="center" wrapText="1"/>
      <protection hidden="1"/>
    </xf>
    <xf numFmtId="167" fontId="3" fillId="0" borderId="1" xfId="0" applyNumberFormat="1" applyFont="1" applyBorder="1" applyAlignment="1" applyProtection="1">
      <alignment horizontal="right" vertical="center" wrapText="1"/>
      <protection hidden="1"/>
    </xf>
    <xf numFmtId="164" fontId="3" fillId="0" borderId="2" xfId="0" applyFont="1" applyBorder="1" applyAlignment="1" applyProtection="1">
      <alignment vertical="center" wrapText="1"/>
      <protection hidden="1"/>
    </xf>
    <xf numFmtId="164" fontId="3" fillId="0" borderId="1" xfId="0" applyFont="1" applyBorder="1" applyAlignment="1" applyProtection="1">
      <alignment horizontal="right" vertical="center" wrapText="1"/>
      <protection locked="0"/>
    </xf>
    <xf numFmtId="164" fontId="5" fillId="5" borderId="1" xfId="0" applyFont="1" applyFill="1" applyBorder="1" applyAlignment="1" applyProtection="1">
      <alignment vertical="center" wrapText="1"/>
      <protection hidden="1"/>
    </xf>
    <xf numFmtId="164" fontId="3" fillId="0" borderId="2" xfId="0" applyFont="1" applyBorder="1" applyAlignment="1" applyProtection="1">
      <alignment horizontal="left" vertical="center" wrapText="1"/>
      <protection hidden="1"/>
    </xf>
    <xf numFmtId="164" fontId="3" fillId="2" borderId="1" xfId="0" applyFont="1" applyFill="1" applyBorder="1" applyAlignment="1" applyProtection="1">
      <alignment horizontal="center" vertical="center" wrapText="1"/>
      <protection hidden="1"/>
    </xf>
    <xf numFmtId="164" fontId="3" fillId="2" borderId="0" xfId="0" applyFont="1" applyFill="1" applyAlignment="1" applyProtection="1">
      <alignment horizontal="center" vertical="top" wrapText="1"/>
      <protection hidden="1"/>
    </xf>
    <xf numFmtId="164" fontId="3" fillId="0" borderId="2" xfId="0" applyFont="1" applyBorder="1" applyAlignment="1" applyProtection="1">
      <alignment vertical="center" wrapText="1"/>
      <protection locked="0"/>
    </xf>
    <xf numFmtId="164" fontId="3" fillId="0" borderId="0" xfId="0" applyFont="1" applyAlignment="1" applyProtection="1">
      <alignment vertical="center" wrapText="1"/>
      <protection hidden="1"/>
    </xf>
    <xf numFmtId="164" fontId="2" fillId="0" borderId="1" xfId="0" applyFont="1" applyBorder="1" applyAlignment="1" applyProtection="1">
      <alignment vertical="center" wrapText="1"/>
      <protection hidden="1"/>
    </xf>
    <xf numFmtId="164" fontId="5" fillId="5" borderId="0" xfId="0" applyFont="1" applyFill="1" applyAlignment="1" applyProtection="1">
      <alignment horizontal="center" vertical="center" wrapText="1"/>
      <protection hidden="1"/>
    </xf>
    <xf numFmtId="10" fontId="3" fillId="0" borderId="1" xfId="0" applyNumberFormat="1" applyFont="1" applyBorder="1" applyAlignment="1" applyProtection="1">
      <alignment vertical="center" wrapText="1"/>
      <protection hidden="1"/>
    </xf>
    <xf numFmtId="164" fontId="2" fillId="0" borderId="2" xfId="0" applyFont="1" applyBorder="1" applyAlignment="1" applyProtection="1">
      <alignment vertical="center" wrapText="1"/>
      <protection hidden="1"/>
    </xf>
    <xf numFmtId="164" fontId="3" fillId="0" borderId="1" xfId="0" applyFont="1" applyBorder="1" applyAlignment="1" applyProtection="1">
      <alignment horizontal="left" vertical="center" wrapText="1"/>
      <protection hidden="1"/>
    </xf>
    <xf numFmtId="164" fontId="2" fillId="2" borderId="0" xfId="0" applyFont="1" applyFill="1" applyAlignment="1" applyProtection="1">
      <alignment horizontal="left" vertical="center" wrapText="1"/>
      <protection hidden="1"/>
    </xf>
    <xf numFmtId="164" fontId="3" fillId="0" borderId="0" xfId="0" applyFont="1" applyAlignment="1" applyProtection="1">
      <alignment horizontal="justify" vertical="center" wrapText="1"/>
      <protection hidden="1"/>
    </xf>
    <xf numFmtId="10" fontId="3" fillId="0" borderId="0" xfId="2" applyNumberFormat="1" applyFont="1" applyBorder="1" applyAlignment="1" applyProtection="1">
      <alignment vertical="center" wrapText="1"/>
      <protection hidden="1"/>
    </xf>
    <xf numFmtId="10" fontId="3" fillId="0" borderId="2" xfId="2" applyNumberFormat="1" applyFont="1" applyBorder="1" applyAlignment="1" applyProtection="1">
      <alignment vertical="center" wrapText="1"/>
      <protection hidden="1"/>
    </xf>
    <xf numFmtId="164" fontId="3" fillId="0" borderId="0" xfId="0" applyFont="1" applyAlignment="1">
      <alignment horizontal="justify" wrapText="1"/>
    </xf>
    <xf numFmtId="164" fontId="7" fillId="0" borderId="0" xfId="0" applyFont="1" applyAlignment="1">
      <alignment horizontal="center" vertical="center" wrapText="1"/>
    </xf>
    <xf numFmtId="164" fontId="7" fillId="0" borderId="0" xfId="0" applyFont="1" applyAlignment="1">
      <alignment horizontal="center" vertical="center" textRotation="90" wrapText="1"/>
    </xf>
    <xf numFmtId="164" fontId="7" fillId="5" borderId="0" xfId="0" applyFont="1" applyFill="1" applyAlignment="1">
      <alignment horizontal="left" vertical="center" wrapText="1"/>
    </xf>
    <xf numFmtId="164" fontId="7" fillId="6" borderId="4" xfId="0" applyFont="1" applyFill="1" applyBorder="1" applyAlignment="1">
      <alignment horizontal="center" vertical="center" wrapText="1"/>
    </xf>
    <xf numFmtId="164" fontId="3" fillId="7" borderId="4" xfId="0" applyFont="1" applyFill="1" applyBorder="1" applyAlignment="1">
      <alignment horizontal="justify" vertical="center" wrapText="1"/>
    </xf>
    <xf numFmtId="10" fontId="3" fillId="0" borderId="4" xfId="0" applyNumberFormat="1" applyFont="1" applyBorder="1" applyAlignment="1">
      <alignment horizontal="center" vertical="center" wrapText="1"/>
    </xf>
    <xf numFmtId="164" fontId="3" fillId="0" borderId="0" xfId="0" applyFont="1" applyAlignment="1">
      <alignment horizontal="justify" vertical="top" wrapText="1"/>
    </xf>
    <xf numFmtId="169" fontId="7" fillId="6" borderId="4" xfId="0" applyNumberFormat="1" applyFont="1" applyFill="1" applyBorder="1" applyAlignment="1">
      <alignment horizontal="center" vertical="center" wrapText="1"/>
    </xf>
    <xf numFmtId="167" fontId="3" fillId="7" borderId="4" xfId="0" applyNumberFormat="1" applyFont="1" applyFill="1" applyBorder="1" applyAlignment="1">
      <alignment horizontal="right" vertical="center" wrapText="1" indent="2"/>
    </xf>
    <xf numFmtId="10" fontId="3" fillId="0" borderId="5" xfId="0" applyNumberFormat="1" applyFont="1" applyBorder="1" applyAlignment="1">
      <alignment horizontal="center" vertical="center" wrapText="1"/>
    </xf>
    <xf numFmtId="164" fontId="8" fillId="0" borderId="0" xfId="0" applyFont="1" applyAlignment="1">
      <alignment wrapText="1"/>
    </xf>
    <xf numFmtId="164" fontId="3" fillId="0" borderId="0" xfId="0" applyFont="1" applyAlignment="1">
      <alignment horizontal="left" vertical="top" wrapText="1"/>
    </xf>
    <xf numFmtId="164" fontId="3" fillId="0" borderId="0" xfId="0" applyFont="1" applyAlignment="1">
      <alignment vertical="top" wrapText="1"/>
    </xf>
  </cellXfs>
  <cellStyles count="3">
    <cellStyle name="Normal" xfId="0" builtinId="0" customBuiltin="1"/>
    <cellStyle name="Porcentagem" xfId="2" builtinId="5"/>
    <cellStyle name="Vírgula" xfId="1" builtinId="3"/>
  </cellStyles>
  <dxfs count="9">
    <dxf>
      <fill>
        <patternFill>
          <bgColor rgb="FFFFFF00"/>
        </patternFill>
      </fill>
    </dxf>
    <dxf>
      <fill>
        <patternFill>
          <bgColor theme="3" tint="0.749961851863155"/>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s>
  <tableStyles count="0" defaultTableStyle="TableStyleMedium2" defaultPivotStyle="PivotStyleLight16"/>
  <colors>
    <mruColors>
      <color rgb="FF336699"/>
      <color rgb="FF156082"/>
      <color rgb="FF1F497D"/>
      <color rgb="FFB9CFD9"/>
      <color rgb="FF213A8F"/>
      <color rgb="FFB8C5EE"/>
      <color rgb="FFE52621"/>
      <color rgb="FFFFFFFF"/>
      <color rgb="FF01010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'AVALIAÇÃO DO TERRENO'!$Y$305</c:f>
              <c:strCache>
                <c:ptCount val="1"/>
                <c:pt idx="0">
                  <c:v>Média</c:v>
                </c:pt>
              </c:strCache>
            </c:strRef>
          </c:tx>
          <c:spPr>
            <a:ln w="19050" cap="sq">
              <a:solidFill>
                <a:schemeClr val="tx1">
                  <a:lumMod val="75000"/>
                  <a:lumOff val="25000"/>
                </a:schemeClr>
              </a:solidFill>
              <a:prstDash val="dash"/>
              <a:round/>
            </a:ln>
            <a:effectLst/>
          </c:spPr>
          <c:marker>
            <c:symbol val="none"/>
          </c:marker>
          <c:val>
            <c:numRef>
              <c:f>'AVALIAÇÃO DO TERRENO'!$Y$306:$Y$308</c:f>
              <c:numCache>
                <c:formatCode>#,##0.00_ ;[Red]\-#,##0.00\ </c:formatCode>
                <c:ptCount val="3"/>
                <c:pt idx="0">
                  <c:v>556.96428571428589</c:v>
                </c:pt>
                <c:pt idx="1">
                  <c:v>556.96428571428589</c:v>
                </c:pt>
                <c:pt idx="2">
                  <c:v>556.96428571428589</c:v>
                </c:pt>
              </c:numCache>
            </c:numRef>
          </c:val>
          <c:smooth val="0"/>
          <c:extLst>
            <c:ext xmlns:c16="http://schemas.microsoft.com/office/drawing/2014/chart" uri="{C3380CC4-5D6E-409C-BE32-E72D297353CC}">
              <c16:uniqueId val="{00000000-9C1A-482E-A854-24438C86DBC4}"/>
            </c:ext>
          </c:extLst>
        </c:ser>
        <c:ser>
          <c:idx val="3"/>
          <c:order val="2"/>
          <c:tx>
            <c:strRef>
              <c:f>'AVALIAÇÃO DO TERRENO'!$W$305</c:f>
              <c:strCache>
                <c:ptCount val="1"/>
                <c:pt idx="0">
                  <c:v>Limite inferior</c:v>
                </c:pt>
              </c:strCache>
            </c:strRef>
          </c:tx>
          <c:spPr>
            <a:ln w="12700" cap="sq">
              <a:solidFill>
                <a:srgbClr val="FF0000"/>
              </a:solidFill>
              <a:round/>
            </a:ln>
            <a:effectLst/>
          </c:spPr>
          <c:marker>
            <c:symbol val="none"/>
          </c:marker>
          <c:val>
            <c:numRef>
              <c:f>'AVALIAÇÃO DO TERRENO'!$W$306:$W$308</c:f>
              <c:numCache>
                <c:formatCode>#,##0.00_ ;[Red]\-#,##0.00\ </c:formatCode>
                <c:ptCount val="3"/>
                <c:pt idx="0">
                  <c:v>415.77713144171969</c:v>
                </c:pt>
                <c:pt idx="1">
                  <c:v>415.77713144171969</c:v>
                </c:pt>
                <c:pt idx="2">
                  <c:v>415.77713144171969</c:v>
                </c:pt>
              </c:numCache>
            </c:numRef>
          </c:val>
          <c:smooth val="0"/>
          <c:extLst>
            <c:ext xmlns:c16="http://schemas.microsoft.com/office/drawing/2014/chart" uri="{C3380CC4-5D6E-409C-BE32-E72D297353CC}">
              <c16:uniqueId val="{00000001-9C1A-482E-A854-24438C86DBC4}"/>
            </c:ext>
          </c:extLst>
        </c:ser>
        <c:ser>
          <c:idx val="2"/>
          <c:order val="3"/>
          <c:tx>
            <c:strRef>
              <c:f>'AVALIAÇÃO DO TERRENO'!$X$305</c:f>
              <c:strCache>
                <c:ptCount val="1"/>
                <c:pt idx="0">
                  <c:v>Limite superior</c:v>
                </c:pt>
              </c:strCache>
            </c:strRef>
          </c:tx>
          <c:spPr>
            <a:ln w="12700" cap="sq">
              <a:solidFill>
                <a:schemeClr val="tx2">
                  <a:lumMod val="50000"/>
                  <a:lumOff val="50000"/>
                </a:schemeClr>
              </a:solidFill>
              <a:round/>
            </a:ln>
            <a:effectLst/>
          </c:spPr>
          <c:marker>
            <c:symbol val="none"/>
          </c:marker>
          <c:val>
            <c:numRef>
              <c:f>'AVALIAÇÃO DO TERRENO'!$X$306:$X$308</c:f>
              <c:numCache>
                <c:formatCode>#,##0.00_ ;[Red]\-#,##0.00\ </c:formatCode>
                <c:ptCount val="3"/>
                <c:pt idx="0">
                  <c:v>698.1514399868521</c:v>
                </c:pt>
                <c:pt idx="1">
                  <c:v>698.1514399868521</c:v>
                </c:pt>
                <c:pt idx="2">
                  <c:v>698.1514399868521</c:v>
                </c:pt>
              </c:numCache>
            </c:numRef>
          </c:val>
          <c:smooth val="0"/>
          <c:extLst>
            <c:ext xmlns:c16="http://schemas.microsoft.com/office/drawing/2014/chart" uri="{C3380CC4-5D6E-409C-BE32-E72D297353CC}">
              <c16:uniqueId val="{00000002-9C1A-482E-A854-24438C86DBC4}"/>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v>Valor unitário homogeneizado</c:v>
          </c:tx>
          <c:spPr>
            <a:ln w="25400" cap="rnd">
              <a:noFill/>
              <a:round/>
            </a:ln>
            <a:effectLst/>
          </c:spPr>
          <c:marker>
            <c:symbol val="diamond"/>
            <c:size val="6"/>
            <c:spPr>
              <a:solidFill>
                <a:schemeClr val="tx1"/>
              </a:solidFill>
              <a:ln w="9525">
                <a:noFill/>
              </a:ln>
              <a:effectLst/>
            </c:spPr>
          </c:marker>
          <c:yVal>
            <c:numRef>
              <c:f>'AVALIAÇÃO DO TERRENO'!$B$286:$B$288</c:f>
              <c:numCache>
                <c:formatCode>#,##0.00_ ;[Red]\-#,##0.00\ </c:formatCode>
                <c:ptCount val="3"/>
                <c:pt idx="0">
                  <c:v>450.00000000000017</c:v>
                </c:pt>
                <c:pt idx="1">
                  <c:v>650.89285714285768</c:v>
                </c:pt>
                <c:pt idx="2">
                  <c:v>570</c:v>
                </c:pt>
              </c:numCache>
            </c:numRef>
          </c:yVal>
          <c:smooth val="0"/>
          <c:extLst>
            <c:ext xmlns:c16="http://schemas.microsoft.com/office/drawing/2014/chart" uri="{C3380CC4-5D6E-409C-BE32-E72D297353CC}">
              <c16:uniqueId val="{00000003-9C1A-482E-A854-24438C86DBC4}"/>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'AVALIAÇÃO DO TERRENO'!$Y$266</c:f>
              <c:strCache>
                <c:ptCount val="1"/>
                <c:pt idx="0">
                  <c:v>Média</c:v>
                </c:pt>
              </c:strCache>
            </c:strRef>
          </c:tx>
          <c:spPr>
            <a:ln w="19050" cap="rnd">
              <a:solidFill>
                <a:schemeClr val="tx1">
                  <a:lumMod val="65000"/>
                  <a:lumOff val="35000"/>
                </a:schemeClr>
              </a:solidFill>
              <a:prstDash val="dash"/>
              <a:round/>
            </a:ln>
            <a:effectLst/>
          </c:spPr>
          <c:marker>
            <c:symbol val="none"/>
          </c:marker>
          <c:val>
            <c:numRef>
              <c:f>'AVALIAÇÃO DO TERRENO'!$Y$267:$Y$269</c:f>
              <c:numCache>
                <c:formatCode>#,##0.00_ ;[Red]\-#,##0.00\ </c:formatCode>
                <c:ptCount val="3"/>
                <c:pt idx="0">
                  <c:v>556.96428571428589</c:v>
                </c:pt>
                <c:pt idx="1">
                  <c:v>556.96428571428589</c:v>
                </c:pt>
                <c:pt idx="2">
                  <c:v>556.96428571428589</c:v>
                </c:pt>
              </c:numCache>
            </c:numRef>
          </c:val>
          <c:smooth val="0"/>
          <c:extLst>
            <c:ext xmlns:c16="http://schemas.microsoft.com/office/drawing/2014/chart" uri="{C3380CC4-5D6E-409C-BE32-E72D297353CC}">
              <c16:uniqueId val="{00000000-4835-40F2-A41D-014171C0F405}"/>
            </c:ext>
          </c:extLst>
        </c:ser>
        <c:ser>
          <c:idx val="1"/>
          <c:order val="2"/>
          <c:tx>
            <c:strRef>
              <c:f>'AVALIAÇÃO DO TERRENO'!$W$266</c:f>
              <c:strCache>
                <c:ptCount val="1"/>
                <c:pt idx="0">
                  <c:v>Limite inferior</c:v>
                </c:pt>
              </c:strCache>
            </c:strRef>
          </c:tx>
          <c:spPr>
            <a:ln w="12700" cap="sq">
              <a:solidFill>
                <a:srgbClr val="FF0000"/>
              </a:solidFill>
              <a:round/>
            </a:ln>
            <a:effectLst/>
          </c:spPr>
          <c:marker>
            <c:symbol val="none"/>
          </c:marker>
          <c:val>
            <c:numRef>
              <c:f>'AVALIAÇÃO DO TERRENO'!$W$267:$W$269</c:f>
              <c:numCache>
                <c:formatCode>#,##0.00_ ;[Red]\-#,##0.00\ </c:formatCode>
                <c:ptCount val="3"/>
                <c:pt idx="0">
                  <c:v>417.17284018441444</c:v>
                </c:pt>
                <c:pt idx="1">
                  <c:v>417.17284018441444</c:v>
                </c:pt>
                <c:pt idx="2">
                  <c:v>417.17284018441444</c:v>
                </c:pt>
              </c:numCache>
            </c:numRef>
          </c:val>
          <c:smooth val="0"/>
          <c:extLst>
            <c:ext xmlns:c16="http://schemas.microsoft.com/office/drawing/2014/chart" uri="{C3380CC4-5D6E-409C-BE32-E72D297353CC}">
              <c16:uniqueId val="{00000001-4835-40F2-A41D-014171C0F405}"/>
            </c:ext>
          </c:extLst>
        </c:ser>
        <c:ser>
          <c:idx val="3"/>
          <c:order val="3"/>
          <c:tx>
            <c:strRef>
              <c:f>'AVALIAÇÃO DO TERRENO'!$X$266</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'AVALIAÇÃO DO TERRENO'!$X$267:$X$269</c:f>
              <c:numCache>
                <c:formatCode>#,##0.00_ ;[Red]\-#,##0.00\ </c:formatCode>
                <c:ptCount val="3"/>
                <c:pt idx="0">
                  <c:v>696.75573124415735</c:v>
                </c:pt>
                <c:pt idx="1">
                  <c:v>696.75573124415735</c:v>
                </c:pt>
                <c:pt idx="2">
                  <c:v>696.75573124415735</c:v>
                </c:pt>
              </c:numCache>
            </c:numRef>
          </c:val>
          <c:smooth val="0"/>
          <c:extLst>
            <c:ext xmlns:c16="http://schemas.microsoft.com/office/drawing/2014/chart" uri="{C3380CC4-5D6E-409C-BE32-E72D297353CC}">
              <c16:uniqueId val="{00000002-4835-40F2-A41D-014171C0F405}"/>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v>Valor unitário homogeneizado</c:v>
          </c:tx>
          <c:spPr>
            <a:ln w="25400" cap="rnd">
              <a:noFill/>
              <a:round/>
            </a:ln>
            <a:effectLst/>
          </c:spPr>
          <c:marker>
            <c:symbol val="diamond"/>
            <c:size val="6"/>
            <c:spPr>
              <a:solidFill>
                <a:schemeClr val="tx1"/>
              </a:solidFill>
              <a:ln w="9525">
                <a:noFill/>
              </a:ln>
              <a:effectLst/>
            </c:spPr>
          </c:marker>
          <c:yVal>
            <c:numRef>
              <c:f>'AVALIAÇÃO DO TERRENO'!$B$250:$B$252</c:f>
              <c:numCache>
                <c:formatCode>#,##0.00_ ;[Red]\-#,##0.00\ </c:formatCode>
                <c:ptCount val="3"/>
                <c:pt idx="0">
                  <c:v>450.00000000000017</c:v>
                </c:pt>
                <c:pt idx="1">
                  <c:v>650.89285714285768</c:v>
                </c:pt>
                <c:pt idx="2">
                  <c:v>570</c:v>
                </c:pt>
              </c:numCache>
            </c:numRef>
          </c:yVal>
          <c:smooth val="0"/>
          <c:extLst>
            <c:ext xmlns:c16="http://schemas.microsoft.com/office/drawing/2014/chart" uri="{C3380CC4-5D6E-409C-BE32-E72D297353CC}">
              <c16:uniqueId val="{00000003-4835-40F2-A41D-014171C0F405}"/>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80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'AVALIAÇÃO DO TERRENO'!$Y$231</c:f>
              <c:strCache>
                <c:ptCount val="1"/>
                <c:pt idx="0">
                  <c:v>Média</c:v>
                </c:pt>
              </c:strCache>
            </c:strRef>
          </c:tx>
          <c:spPr>
            <a:ln w="19050" cap="sq">
              <a:solidFill>
                <a:schemeClr val="tx1">
                  <a:lumMod val="65000"/>
                  <a:lumOff val="35000"/>
                </a:schemeClr>
              </a:solidFill>
              <a:prstDash val="dash"/>
              <a:round/>
            </a:ln>
            <a:effectLst/>
          </c:spPr>
          <c:marker>
            <c:symbol val="none"/>
          </c:marker>
          <c:val>
            <c:numRef>
              <c:f>'AVALIAÇÃO DO TERRENO'!$Y$232:$Y$234</c:f>
              <c:numCache>
                <c:formatCode>#,##0.00_ ;[Red]\-#,##0.00\ </c:formatCode>
                <c:ptCount val="3"/>
                <c:pt idx="0">
                  <c:v>556.96428571428589</c:v>
                </c:pt>
                <c:pt idx="1">
                  <c:v>556.96428571428589</c:v>
                </c:pt>
                <c:pt idx="2">
                  <c:v>556.96428571428589</c:v>
                </c:pt>
              </c:numCache>
            </c:numRef>
          </c:val>
          <c:smooth val="0"/>
          <c:extLst>
            <c:ext xmlns:c16="http://schemas.microsoft.com/office/drawing/2014/chart" uri="{C3380CC4-5D6E-409C-BE32-E72D297353CC}">
              <c16:uniqueId val="{00000000-3AF5-4F39-B73D-77E4817E3844}"/>
            </c:ext>
          </c:extLst>
        </c:ser>
        <c:ser>
          <c:idx val="2"/>
          <c:order val="2"/>
          <c:tx>
            <c:strRef>
              <c:f>'AVALIAÇÃO DO TERRENO'!$X$231</c:f>
              <c:strCache>
                <c:ptCount val="1"/>
                <c:pt idx="0">
                  <c:v>Limite superior</c:v>
                </c:pt>
              </c:strCache>
            </c:strRef>
          </c:tx>
          <c:spPr>
            <a:ln w="12700" cap="sq">
              <a:solidFill>
                <a:srgbClr val="0070C0"/>
              </a:solidFill>
              <a:prstDash val="solid"/>
              <a:round/>
            </a:ln>
            <a:effectLst/>
          </c:spPr>
          <c:marker>
            <c:symbol val="none"/>
          </c:marker>
          <c:val>
            <c:numRef>
              <c:f>'AVALIAÇÃO DO TERRENO'!$X$232:$X$234</c:f>
              <c:numCache>
                <c:formatCode>#,##0.00_ ;[Red]\-#,##0.00\ </c:formatCode>
                <c:ptCount val="3"/>
                <c:pt idx="0">
                  <c:v>724.05357142857167</c:v>
                </c:pt>
                <c:pt idx="1">
                  <c:v>724.05357142857167</c:v>
                </c:pt>
                <c:pt idx="2">
                  <c:v>724.05357142857167</c:v>
                </c:pt>
              </c:numCache>
            </c:numRef>
          </c:val>
          <c:smooth val="0"/>
          <c:extLst>
            <c:ext xmlns:c16="http://schemas.microsoft.com/office/drawing/2014/chart" uri="{C3380CC4-5D6E-409C-BE32-E72D297353CC}">
              <c16:uniqueId val="{00000001-3AF5-4F39-B73D-77E4817E3844}"/>
            </c:ext>
          </c:extLst>
        </c:ser>
        <c:ser>
          <c:idx val="1"/>
          <c:order val="3"/>
          <c:tx>
            <c:strRef>
              <c:f>'AVALIAÇÃO DO TERRENO'!$W$231</c:f>
              <c:strCache>
                <c:ptCount val="1"/>
                <c:pt idx="0">
                  <c:v>Limite inferior</c:v>
                </c:pt>
              </c:strCache>
            </c:strRef>
          </c:tx>
          <c:spPr>
            <a:ln w="12700" cap="sq">
              <a:solidFill>
                <a:srgbClr val="FF0000"/>
              </a:solidFill>
              <a:round/>
            </a:ln>
            <a:effectLst/>
          </c:spPr>
          <c:marker>
            <c:symbol val="none"/>
          </c:marker>
          <c:val>
            <c:numRef>
              <c:f>'AVALIAÇÃO DO TERRENO'!$W$232:$W$234</c:f>
              <c:numCache>
                <c:formatCode>#,##0.00_ ;[Red]\-#,##0.00\ </c:formatCode>
                <c:ptCount val="3"/>
                <c:pt idx="0">
                  <c:v>389.87500000000011</c:v>
                </c:pt>
                <c:pt idx="1">
                  <c:v>389.87500000000011</c:v>
                </c:pt>
                <c:pt idx="2">
                  <c:v>389.87500000000011</c:v>
                </c:pt>
              </c:numCache>
            </c:numRef>
          </c:val>
          <c:smooth val="0"/>
          <c:extLst>
            <c:ext xmlns:c16="http://schemas.microsoft.com/office/drawing/2014/chart" uri="{C3380CC4-5D6E-409C-BE32-E72D297353CC}">
              <c16:uniqueId val="{00000002-3AF5-4F39-B73D-77E4817E3844}"/>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v>Valor unitário homogeneizado</c:v>
          </c:tx>
          <c:spPr>
            <a:ln w="25400" cap="rnd">
              <a:noFill/>
              <a:round/>
            </a:ln>
            <a:effectLst/>
          </c:spPr>
          <c:marker>
            <c:symbol val="diamond"/>
            <c:size val="6"/>
            <c:spPr>
              <a:solidFill>
                <a:schemeClr val="tx1"/>
              </a:solidFill>
              <a:ln w="9525">
                <a:noFill/>
              </a:ln>
              <a:effectLst/>
            </c:spPr>
          </c:marker>
          <c:yVal>
            <c:numRef>
              <c:f>'AVALIAÇÃO DO TERRENO'!$B$217:$B$219</c:f>
              <c:numCache>
                <c:formatCode>#,##0.00_ ;[Red]\-#,##0.00\ </c:formatCode>
                <c:ptCount val="3"/>
                <c:pt idx="0">
                  <c:v>450.00000000000017</c:v>
                </c:pt>
                <c:pt idx="1">
                  <c:v>650.89285714285768</c:v>
                </c:pt>
                <c:pt idx="2">
                  <c:v>570</c:v>
                </c:pt>
              </c:numCache>
            </c:numRef>
          </c:yVal>
          <c:smooth val="0"/>
          <c:extLst>
            <c:ext xmlns:c16="http://schemas.microsoft.com/office/drawing/2014/chart" uri="{C3380CC4-5D6E-409C-BE32-E72D297353CC}">
              <c16:uniqueId val="{00000003-3AF5-4F39-B73D-77E4817E3844}"/>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a:t>
            </a:r>
            <a:r>
              <a:rPr lang="en-US" sz="1000" b="1" baseline="0"/>
              <a:t> elementos </a:t>
            </a:r>
            <a:r>
              <a:rPr lang="en-US" sz="1000" b="1"/>
              <a:t>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'AVALIAÇÃO DO TERRENO'!$J$95:$J$97</c:f>
              <c:numCache>
                <c:formatCode>#,##0.00_ ;[Red]\-#,##0.00\ </c:formatCode>
                <c:ptCount val="3"/>
                <c:pt idx="0">
                  <c:v>1</c:v>
                </c:pt>
                <c:pt idx="1">
                  <c:v>0.79999999999999982</c:v>
                </c:pt>
                <c:pt idx="2">
                  <c:v>0.90000000000000036</c:v>
                </c:pt>
              </c:numCache>
            </c:numRef>
          </c:val>
          <c:extLst>
            <c:ext xmlns:c16="http://schemas.microsoft.com/office/drawing/2014/chart" uri="{C3380CC4-5D6E-409C-BE32-E72D297353CC}">
              <c16:uniqueId val="{00000000-2B43-4A11-9B20-02B98883ED28}"/>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elementos</a:t>
            </a:r>
            <a:r>
              <a:rPr lang="en-US" sz="1000" b="1" baseline="0"/>
              <a:t> </a:t>
            </a:r>
            <a:r>
              <a:rPr lang="en-US" sz="1000" b="1"/>
              <a:t>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3"/>
              <c:pt idx="0">
                <c:v>1</c:v>
              </c:pt>
              <c:pt idx="1">
                <c:v>1</c:v>
              </c:pt>
              <c:pt idx="2">
                <c:v>1</c:v>
              </c:pt>
            </c:numLit>
          </c:val>
          <c:extLst>
            <c:ext xmlns:c16="http://schemas.microsoft.com/office/drawing/2014/chart" uri="{C3380CC4-5D6E-409C-BE32-E72D297353CC}">
              <c16:uniqueId val="{00000000-4B2E-421F-95FA-2661983C17A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4B2E-421F-95FA-2661983C17A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'AVALIAÇÃO DO TERRENO'!$L$95:$L$97</c:f>
              <c:numCache>
                <c:formatCode>#,##0.00_ ;[Red]\-#,##0.00\ </c:formatCode>
                <c:ptCount val="3"/>
                <c:pt idx="0">
                  <c:v>0.90000000000000036</c:v>
                </c:pt>
                <c:pt idx="1">
                  <c:v>0.90000000000000036</c:v>
                </c:pt>
                <c:pt idx="2">
                  <c:v>0.90000000000000036</c:v>
                </c:pt>
              </c:numCache>
            </c:numRef>
          </c:val>
          <c:extLst>
            <c:ext xmlns:c16="http://schemas.microsoft.com/office/drawing/2014/chart" uri="{C3380CC4-5D6E-409C-BE32-E72D297353CC}">
              <c16:uniqueId val="{00000000-5CE7-4EE5-BBFC-309D5CA35BBC}"/>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5CE7-4EE5-BBFC-309D5CA35BBC}"/>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elementos</a:t>
            </a:r>
            <a:r>
              <a:rPr lang="en-US" sz="1000" b="1" baseline="0"/>
              <a:t> </a:t>
            </a:r>
            <a:r>
              <a:rPr lang="en-US" sz="1000" b="1"/>
              <a:t>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1</c:v>
              </c:pt>
              <c:pt idx="1">
                <c:v>2</c:v>
              </c:pt>
              <c:pt idx="2">
                <c:v>3</c:v>
              </c:pt>
              <c:pt idx="3">
                <c:v>4</c:v>
              </c:pt>
              <c:pt idx="4">
                <c:v>5</c:v>
              </c:pt>
              <c:pt idx="5">
                <c:v>6</c:v>
              </c:pt>
              <c:pt idx="6">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'AVALIAÇÃO DO TERRENO'!$J$95:$J$97</c15:sqref>
                  </c15:fullRef>
                </c:ext>
              </c:extLst>
              <c:f>'AVALIAÇÃO DO TERRENO'!$J$95:$J$97</c:f>
              <c:numCache>
                <c:formatCode>#,##0.00_ ;[Red]\-#,##0.00\ </c:formatCode>
                <c:ptCount val="3"/>
                <c:pt idx="0">
                  <c:v>1</c:v>
                </c:pt>
                <c:pt idx="1">
                  <c:v>0.79999999999999982</c:v>
                </c:pt>
                <c:pt idx="2">
                  <c:v>0.90000000000000036</c:v>
                </c:pt>
              </c:numCache>
            </c:numRef>
          </c:val>
          <c:extLst>
            <c:ext xmlns:c16="http://schemas.microsoft.com/office/drawing/2014/chart" uri="{C3380CC4-5D6E-409C-BE32-E72D297353CC}">
              <c16:uniqueId val="{00000000-1C74-4469-BBD4-CE8C6191EF22}"/>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cat>
            <c:strLit>
              <c:ptCount val="3"/>
              <c:pt idx="0">
                <c:v>1</c:v>
              </c:pt>
              <c:pt idx="1">
                <c:v>2</c:v>
              </c:pt>
              <c:pt idx="2">
                <c:v>3</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4"/>
                      <c:pt idx="3">
                        <c:v>1</c:v>
                      </c:pt>
                      <c:pt idx="4">
                        <c:v>1</c:v>
                      </c:pt>
                      <c:pt idx="5">
                        <c:v>1</c:v>
                      </c:pt>
                      <c:pt idx="6">
                        <c:v>1</c:v>
                      </c:pt>
                    </c:numCache>
                  </c16:filteredLitCache>
                </c:ext>
              </c:extLst>
              <c:f/>
              <c:numCache>
                <c:formatCode>General</c:formatCode>
                <c:ptCount val="3"/>
                <c:pt idx="0">
                  <c:v>1</c:v>
                </c:pt>
                <c:pt idx="1">
                  <c:v>1</c:v>
                </c:pt>
                <c:pt idx="2">
                  <c:v>1</c:v>
                </c:pt>
              </c:numCache>
            </c:numRef>
          </c:val>
          <c:smooth val="0"/>
          <c:extLst>
            <c:ext xmlns:c16="http://schemas.microsoft.com/office/drawing/2014/chart" uri="{C3380CC4-5D6E-409C-BE32-E72D297353CC}">
              <c16:uniqueId val="{00000001-1C74-4469-BBD4-CE8C6191EF22}"/>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pt-BR" sz="1100" b="1"/>
              <a:t>Dispersão dos elementos da amostra</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'IMÓVEIS DE REFERÊNCIA'!$L$207</c:f>
              <c:strCache>
                <c:ptCount val="1"/>
                <c:pt idx="0">
                  <c:v>Média</c:v>
                </c:pt>
              </c:strCache>
            </c:strRef>
          </c:tx>
          <c:spPr>
            <a:ln w="12700" cap="rnd">
              <a:solidFill>
                <a:schemeClr val="tx1"/>
              </a:solidFill>
              <a:prstDash val="dash"/>
              <a:round/>
            </a:ln>
            <a:effectLst/>
          </c:spPr>
          <c:marker>
            <c:symbol val="none"/>
          </c:marker>
          <c:val>
            <c:numRef>
              <c:f>'IMÓVEIS DE REFERÊNCIA'!$L$208:$L$210</c:f>
              <c:numCache>
                <c:formatCode>#,##0.00_ ;[Red]\-#,##0.00\ </c:formatCode>
                <c:ptCount val="3"/>
                <c:pt idx="0">
                  <c:v>527.76841070623107</c:v>
                </c:pt>
                <c:pt idx="1">
                  <c:v>527.76841070623107</c:v>
                </c:pt>
                <c:pt idx="2">
                  <c:v>527.76841070623107</c:v>
                </c:pt>
              </c:numCache>
            </c:numRef>
          </c:val>
          <c:smooth val="0"/>
          <c:extLst>
            <c:ext xmlns:c16="http://schemas.microsoft.com/office/drawing/2014/chart" uri="{C3380CC4-5D6E-409C-BE32-E72D297353CC}">
              <c16:uniqueId val="{00000000-C871-4480-A8DE-F705CAC4D45A}"/>
            </c:ext>
          </c:extLst>
        </c:ser>
        <c:ser>
          <c:idx val="1"/>
          <c:order val="1"/>
          <c:tx>
            <c:strRef>
              <c:f>'IMÓVEIS DE REFERÊNCIA'!$M$207</c:f>
              <c:strCache>
                <c:ptCount val="1"/>
                <c:pt idx="0">
                  <c:v>Limite superior</c:v>
                </c:pt>
              </c:strCache>
            </c:strRef>
          </c:tx>
          <c:spPr>
            <a:ln w="12700" cap="sq">
              <a:solidFill>
                <a:schemeClr val="tx2">
                  <a:lumMod val="50000"/>
                  <a:lumOff val="50000"/>
                </a:schemeClr>
              </a:solidFill>
              <a:round/>
            </a:ln>
            <a:effectLst/>
          </c:spPr>
          <c:marker>
            <c:symbol val="none"/>
          </c:marker>
          <c:val>
            <c:numRef>
              <c:f>'IMÓVEIS DE REFERÊNCIA'!$M$208:$M$210</c:f>
              <c:numCache>
                <c:formatCode>#,##0.00_ ;[Red]\-#,##0.00\ </c:formatCode>
                <c:ptCount val="3"/>
                <c:pt idx="0">
                  <c:v>686.09893391810044</c:v>
                </c:pt>
                <c:pt idx="1">
                  <c:v>686.09893391810044</c:v>
                </c:pt>
                <c:pt idx="2">
                  <c:v>686.09893391810044</c:v>
                </c:pt>
              </c:numCache>
            </c:numRef>
          </c:val>
          <c:smooth val="0"/>
          <c:extLst>
            <c:ext xmlns:c16="http://schemas.microsoft.com/office/drawing/2014/chart" uri="{C3380CC4-5D6E-409C-BE32-E72D297353CC}">
              <c16:uniqueId val="{00000001-C871-4480-A8DE-F705CAC4D45A}"/>
            </c:ext>
          </c:extLst>
        </c:ser>
        <c:ser>
          <c:idx val="2"/>
          <c:order val="2"/>
          <c:tx>
            <c:strRef>
              <c:f>'IMÓVEIS DE REFERÊNCIA'!$N$207</c:f>
              <c:strCache>
                <c:ptCount val="1"/>
                <c:pt idx="0">
                  <c:v>Limite inferior</c:v>
                </c:pt>
              </c:strCache>
            </c:strRef>
          </c:tx>
          <c:spPr>
            <a:ln w="12700" cap="sq">
              <a:solidFill>
                <a:srgbClr val="FF0000"/>
              </a:solidFill>
              <a:round/>
            </a:ln>
            <a:effectLst/>
          </c:spPr>
          <c:marker>
            <c:symbol val="none"/>
          </c:marker>
          <c:val>
            <c:numRef>
              <c:f>'IMÓVEIS DE REFERÊNCIA'!$N$208:$N$210</c:f>
              <c:numCache>
                <c:formatCode>#,##0.00_ ;[Red]\-#,##0.00\ </c:formatCode>
                <c:ptCount val="3"/>
                <c:pt idx="0">
                  <c:v>369.43788749436175</c:v>
                </c:pt>
                <c:pt idx="1">
                  <c:v>369.43788749436175</c:v>
                </c:pt>
                <c:pt idx="2">
                  <c:v>369.43788749436175</c:v>
                </c:pt>
              </c:numCache>
            </c:numRef>
          </c:val>
          <c:smooth val="0"/>
          <c:extLst>
            <c:ext xmlns:c16="http://schemas.microsoft.com/office/drawing/2014/chart" uri="{C3380CC4-5D6E-409C-BE32-E72D297353CC}">
              <c16:uniqueId val="{00000002-C871-4480-A8DE-F705CAC4D45A}"/>
            </c:ext>
          </c:extLst>
        </c:ser>
        <c:dLbls>
          <c:showLegendKey val="0"/>
          <c:showVal val="0"/>
          <c:showCatName val="0"/>
          <c:showSerName val="0"/>
          <c:showPercent val="0"/>
          <c:showBubbleSize val="0"/>
        </c:dLbls>
        <c:marker val="1"/>
        <c:smooth val="0"/>
        <c:axId val="922347583"/>
        <c:axId val="922348063"/>
      </c:lineChart>
      <c:scatterChart>
        <c:scatterStyle val="lineMarker"/>
        <c:varyColors val="0"/>
        <c:ser>
          <c:idx val="3"/>
          <c:order val="3"/>
          <c:tx>
            <c:strRef>
              <c:f>'IMÓVEIS DE REFERÊNCIA'!$B$207</c:f>
              <c:strCache>
                <c:ptCount val="1"/>
                <c:pt idx="0">
                  <c:v>Valor unitário homogeneizado</c:v>
                </c:pt>
              </c:strCache>
            </c:strRef>
          </c:tx>
          <c:spPr>
            <a:ln w="25400" cap="rnd">
              <a:noFill/>
              <a:round/>
            </a:ln>
            <a:effectLst/>
          </c:spPr>
          <c:marker>
            <c:symbol val="diamond"/>
            <c:size val="8"/>
            <c:spPr>
              <a:solidFill>
                <a:srgbClr val="336699"/>
              </a:solidFill>
              <a:ln w="9525">
                <a:noFill/>
              </a:ln>
              <a:effectLst/>
            </c:spPr>
          </c:marker>
          <c:yVal>
            <c:numRef>
              <c:f>'IMÓVEIS DE REFERÊNCIA'!$C$208:$C$210</c:f>
              <c:numCache>
                <c:formatCode>#,##0.00_ ;[Red]\-#,##0.00\ </c:formatCode>
                <c:ptCount val="3"/>
                <c:pt idx="0">
                  <c:v>646.05706734735031</c:v>
                </c:pt>
                <c:pt idx="1">
                  <c:v>461.34537697354864</c:v>
                </c:pt>
                <c:pt idx="2">
                  <c:v>475.90278779779419</c:v>
                </c:pt>
              </c:numCache>
            </c:numRef>
          </c:yVal>
          <c:smooth val="0"/>
          <c:extLst>
            <c:ext xmlns:c16="http://schemas.microsoft.com/office/drawing/2014/chart" uri="{C3380CC4-5D6E-409C-BE32-E72D297353CC}">
              <c16:uniqueId val="{00000003-C871-4480-A8DE-F705CAC4D45A}"/>
            </c:ext>
          </c:extLst>
        </c:ser>
        <c:dLbls>
          <c:showLegendKey val="0"/>
          <c:showVal val="0"/>
          <c:showCatName val="0"/>
          <c:showSerName val="0"/>
          <c:showPercent val="0"/>
          <c:showBubbleSize val="0"/>
        </c:dLbls>
        <c:axId val="922347583"/>
        <c:axId val="922348063"/>
      </c:scatterChart>
      <c:catAx>
        <c:axId val="922347583"/>
        <c:scaling>
          <c:orientation val="minMax"/>
        </c:scaling>
        <c:delete val="0"/>
        <c:axPos val="b"/>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2348063"/>
        <c:crosses val="autoZero"/>
        <c:auto val="1"/>
        <c:lblAlgn val="ctr"/>
        <c:lblOffset val="100"/>
        <c:noMultiLvlLbl val="0"/>
      </c:catAx>
      <c:valAx>
        <c:axId val="922348063"/>
        <c:scaling>
          <c:orientation val="minMax"/>
        </c:scaling>
        <c:delete val="0"/>
        <c:axPos val="l"/>
        <c:numFmt formatCode="#,##0.00_ ;[Red]\-#,##0.0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2347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pt-BR" sz="1100" b="1"/>
              <a:t>Dispersão dos elementos da amostra (critério de Chauvenet)</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'IMÓVEIS DE REFERÊNCIA'!$L$240</c:f>
              <c:strCache>
                <c:ptCount val="1"/>
                <c:pt idx="0">
                  <c:v>Média</c:v>
                </c:pt>
              </c:strCache>
            </c:strRef>
          </c:tx>
          <c:spPr>
            <a:ln w="12700" cap="sq">
              <a:solidFill>
                <a:schemeClr val="tx1"/>
              </a:solidFill>
              <a:prstDash val="dash"/>
              <a:round/>
            </a:ln>
            <a:effectLst/>
          </c:spPr>
          <c:marker>
            <c:symbol val="none"/>
          </c:marker>
          <c:val>
            <c:numRef>
              <c:f>'IMÓVEIS DE REFERÊNCIA'!$L$241:$L$243</c:f>
              <c:numCache>
                <c:formatCode>#,##0.00_ ;[Red]\-#,##0.00\ </c:formatCode>
                <c:ptCount val="3"/>
                <c:pt idx="0">
                  <c:v>527.76841070623107</c:v>
                </c:pt>
                <c:pt idx="1">
                  <c:v>527.76841070623107</c:v>
                </c:pt>
                <c:pt idx="2">
                  <c:v>527.76841070623107</c:v>
                </c:pt>
              </c:numCache>
            </c:numRef>
          </c:val>
          <c:smooth val="0"/>
          <c:extLst>
            <c:ext xmlns:c16="http://schemas.microsoft.com/office/drawing/2014/chart" uri="{C3380CC4-5D6E-409C-BE32-E72D297353CC}">
              <c16:uniqueId val="{00000000-EE71-44F1-B6B6-55F97A8D72B8}"/>
            </c:ext>
          </c:extLst>
        </c:ser>
        <c:ser>
          <c:idx val="1"/>
          <c:order val="1"/>
          <c:tx>
            <c:strRef>
              <c:f>'IMÓVEIS DE REFERÊNCIA'!$M$240</c:f>
              <c:strCache>
                <c:ptCount val="1"/>
                <c:pt idx="0">
                  <c:v>Limite superior</c:v>
                </c:pt>
              </c:strCache>
            </c:strRef>
          </c:tx>
          <c:spPr>
            <a:ln w="12700" cap="sq">
              <a:solidFill>
                <a:schemeClr val="tx2">
                  <a:lumMod val="50000"/>
                  <a:lumOff val="50000"/>
                </a:schemeClr>
              </a:solidFill>
              <a:round/>
            </a:ln>
            <a:effectLst/>
          </c:spPr>
          <c:marker>
            <c:symbol val="none"/>
          </c:marker>
          <c:val>
            <c:numRef>
              <c:f>'IMÓVEIS DE REFERÊNCIA'!$M$241:$M$243</c:f>
              <c:numCache>
                <c:formatCode>#,##0.00_ ;[Red]\-#,##0.00\ </c:formatCode>
                <c:ptCount val="3"/>
                <c:pt idx="0">
                  <c:v>669.80085899791004</c:v>
                </c:pt>
                <c:pt idx="1">
                  <c:v>669.80085899791004</c:v>
                </c:pt>
                <c:pt idx="2">
                  <c:v>669.80085899791004</c:v>
                </c:pt>
              </c:numCache>
            </c:numRef>
          </c:val>
          <c:smooth val="0"/>
          <c:extLst>
            <c:ext xmlns:c16="http://schemas.microsoft.com/office/drawing/2014/chart" uri="{C3380CC4-5D6E-409C-BE32-E72D297353CC}">
              <c16:uniqueId val="{00000001-EE71-44F1-B6B6-55F97A8D72B8}"/>
            </c:ext>
          </c:extLst>
        </c:ser>
        <c:ser>
          <c:idx val="2"/>
          <c:order val="2"/>
          <c:tx>
            <c:strRef>
              <c:f>'IMÓVEIS DE REFERÊNCIA'!$N$240</c:f>
              <c:strCache>
                <c:ptCount val="1"/>
                <c:pt idx="0">
                  <c:v>Limite inferior</c:v>
                </c:pt>
              </c:strCache>
            </c:strRef>
          </c:tx>
          <c:spPr>
            <a:ln w="12700" cap="sq">
              <a:solidFill>
                <a:srgbClr val="FF0000"/>
              </a:solidFill>
              <a:round/>
            </a:ln>
            <a:effectLst/>
          </c:spPr>
          <c:marker>
            <c:symbol val="none"/>
          </c:marker>
          <c:val>
            <c:numRef>
              <c:f>'IMÓVEIS DE REFERÊNCIA'!$N$241:$N$243</c:f>
              <c:numCache>
                <c:formatCode>#,##0.00_ ;[Red]\-#,##0.00\ </c:formatCode>
                <c:ptCount val="3"/>
                <c:pt idx="0">
                  <c:v>385.73596241455209</c:v>
                </c:pt>
                <c:pt idx="1">
                  <c:v>385.73596241455209</c:v>
                </c:pt>
                <c:pt idx="2">
                  <c:v>385.73596241455209</c:v>
                </c:pt>
              </c:numCache>
            </c:numRef>
          </c:val>
          <c:smooth val="0"/>
          <c:extLst>
            <c:ext xmlns:c16="http://schemas.microsoft.com/office/drawing/2014/chart" uri="{C3380CC4-5D6E-409C-BE32-E72D297353CC}">
              <c16:uniqueId val="{00000002-EE71-44F1-B6B6-55F97A8D72B8}"/>
            </c:ext>
          </c:extLst>
        </c:ser>
        <c:dLbls>
          <c:showLegendKey val="0"/>
          <c:showVal val="0"/>
          <c:showCatName val="0"/>
          <c:showSerName val="0"/>
          <c:showPercent val="0"/>
          <c:showBubbleSize val="0"/>
        </c:dLbls>
        <c:marker val="1"/>
        <c:smooth val="0"/>
        <c:axId val="922347583"/>
        <c:axId val="922348063"/>
      </c:lineChart>
      <c:scatterChart>
        <c:scatterStyle val="lineMarker"/>
        <c:varyColors val="0"/>
        <c:ser>
          <c:idx val="3"/>
          <c:order val="3"/>
          <c:tx>
            <c:strRef>
              <c:f>'IMÓVEIS DE REFERÊNCIA'!$B$240</c:f>
              <c:strCache>
                <c:ptCount val="1"/>
                <c:pt idx="0">
                  <c:v>Valor unitário homogeneizado</c:v>
                </c:pt>
              </c:strCache>
            </c:strRef>
          </c:tx>
          <c:spPr>
            <a:ln w="25400" cap="rnd">
              <a:noFill/>
              <a:round/>
            </a:ln>
            <a:effectLst/>
          </c:spPr>
          <c:marker>
            <c:symbol val="diamond"/>
            <c:size val="8"/>
            <c:spPr>
              <a:solidFill>
                <a:srgbClr val="336699"/>
              </a:solidFill>
              <a:ln w="9525">
                <a:noFill/>
              </a:ln>
              <a:effectLst/>
            </c:spPr>
          </c:marker>
          <c:yVal>
            <c:numRef>
              <c:f>'IMÓVEIS DE REFERÊNCIA'!$C$241:$C$243</c:f>
              <c:numCache>
                <c:formatCode>#,##0.00_ ;[Red]\-#,##0.00\ </c:formatCode>
                <c:ptCount val="3"/>
                <c:pt idx="0">
                  <c:v>646.05706734735031</c:v>
                </c:pt>
                <c:pt idx="1">
                  <c:v>461.34537697354864</c:v>
                </c:pt>
                <c:pt idx="2">
                  <c:v>475.90278779779419</c:v>
                </c:pt>
              </c:numCache>
            </c:numRef>
          </c:yVal>
          <c:smooth val="0"/>
          <c:extLst>
            <c:ext xmlns:c16="http://schemas.microsoft.com/office/drawing/2014/chart" uri="{C3380CC4-5D6E-409C-BE32-E72D297353CC}">
              <c16:uniqueId val="{00000003-EE71-44F1-B6B6-55F97A8D72B8}"/>
            </c:ext>
          </c:extLst>
        </c:ser>
        <c:dLbls>
          <c:showLegendKey val="0"/>
          <c:showVal val="0"/>
          <c:showCatName val="0"/>
          <c:showSerName val="0"/>
          <c:showPercent val="0"/>
          <c:showBubbleSize val="0"/>
        </c:dLbls>
        <c:axId val="922347583"/>
        <c:axId val="922348063"/>
      </c:scatterChart>
      <c:catAx>
        <c:axId val="922347583"/>
        <c:scaling>
          <c:orientation val="minMax"/>
        </c:scaling>
        <c:delete val="0"/>
        <c:axPos val="b"/>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2348063"/>
        <c:crosses val="autoZero"/>
        <c:auto val="1"/>
        <c:lblAlgn val="ctr"/>
        <c:lblOffset val="100"/>
        <c:noMultiLvlLbl val="0"/>
      </c:catAx>
      <c:valAx>
        <c:axId val="922348063"/>
        <c:scaling>
          <c:orientation val="minMax"/>
        </c:scaling>
        <c:delete val="0"/>
        <c:axPos val="l"/>
        <c:numFmt formatCode="#,##0.00_ ;[Red]\-#,##0.0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2347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pt-BR" sz="1100" b="1"/>
              <a:t>Dispersão dos elementos da amostra (critério de Arley)</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'IMÓVEIS DE REFERÊNCIA'!$L$276</c:f>
              <c:strCache>
                <c:ptCount val="1"/>
                <c:pt idx="0">
                  <c:v>Média</c:v>
                </c:pt>
              </c:strCache>
            </c:strRef>
          </c:tx>
          <c:spPr>
            <a:ln w="12700" cap="rnd">
              <a:solidFill>
                <a:schemeClr val="tx1"/>
              </a:solidFill>
              <a:prstDash val="dash"/>
              <a:round/>
            </a:ln>
            <a:effectLst/>
          </c:spPr>
          <c:marker>
            <c:symbol val="none"/>
          </c:marker>
          <c:val>
            <c:numRef>
              <c:f>'IMÓVEIS DE REFERÊNCIA'!$L$277:$L$279</c:f>
              <c:numCache>
                <c:formatCode>#,##0.00_ ;[Red]\-#,##0.00\ </c:formatCode>
                <c:ptCount val="3"/>
                <c:pt idx="0">
                  <c:v>527.76841070623107</c:v>
                </c:pt>
                <c:pt idx="1">
                  <c:v>527.76841070623107</c:v>
                </c:pt>
                <c:pt idx="2">
                  <c:v>527.76841070623107</c:v>
                </c:pt>
              </c:numCache>
            </c:numRef>
          </c:val>
          <c:smooth val="0"/>
          <c:extLst>
            <c:ext xmlns:c16="http://schemas.microsoft.com/office/drawing/2014/chart" uri="{C3380CC4-5D6E-409C-BE32-E72D297353CC}">
              <c16:uniqueId val="{00000000-E2A6-4126-B145-99E017D8B344}"/>
            </c:ext>
          </c:extLst>
        </c:ser>
        <c:ser>
          <c:idx val="1"/>
          <c:order val="1"/>
          <c:tx>
            <c:strRef>
              <c:f>'IMÓVEIS DE REFERÊNCIA'!$M$276</c:f>
              <c:strCache>
                <c:ptCount val="1"/>
                <c:pt idx="0">
                  <c:v>Limite superior</c:v>
                </c:pt>
              </c:strCache>
            </c:strRef>
          </c:tx>
          <c:spPr>
            <a:ln w="12700" cap="sq">
              <a:solidFill>
                <a:schemeClr val="tx2">
                  <a:lumMod val="50000"/>
                  <a:lumOff val="50000"/>
                </a:schemeClr>
              </a:solidFill>
              <a:round/>
            </a:ln>
            <a:effectLst/>
          </c:spPr>
          <c:marker>
            <c:symbol val="none"/>
          </c:marker>
          <c:val>
            <c:numRef>
              <c:f>'IMÓVEIS DE REFERÊNCIA'!$M$277:$M$279</c:f>
              <c:numCache>
                <c:formatCode>#,##0.00_ ;[Red]\-#,##0.00\ </c:formatCode>
                <c:ptCount val="3"/>
                <c:pt idx="0">
                  <c:v>671.21894240834797</c:v>
                </c:pt>
                <c:pt idx="1">
                  <c:v>671.21894240834797</c:v>
                </c:pt>
                <c:pt idx="2">
                  <c:v>671.21894240834797</c:v>
                </c:pt>
              </c:numCache>
            </c:numRef>
          </c:val>
          <c:smooth val="0"/>
          <c:extLst>
            <c:ext xmlns:c16="http://schemas.microsoft.com/office/drawing/2014/chart" uri="{C3380CC4-5D6E-409C-BE32-E72D297353CC}">
              <c16:uniqueId val="{00000001-E2A6-4126-B145-99E017D8B344}"/>
            </c:ext>
          </c:extLst>
        </c:ser>
        <c:ser>
          <c:idx val="2"/>
          <c:order val="2"/>
          <c:tx>
            <c:strRef>
              <c:f>'IMÓVEIS DE REFERÊNCIA'!$N$276</c:f>
              <c:strCache>
                <c:ptCount val="1"/>
                <c:pt idx="0">
                  <c:v>Limite inferior</c:v>
                </c:pt>
              </c:strCache>
            </c:strRef>
          </c:tx>
          <c:spPr>
            <a:ln w="12700" cap="sq">
              <a:solidFill>
                <a:srgbClr val="FF0000"/>
              </a:solidFill>
              <a:round/>
            </a:ln>
            <a:effectLst/>
          </c:spPr>
          <c:marker>
            <c:symbol val="none"/>
          </c:marker>
          <c:val>
            <c:numRef>
              <c:f>'IMÓVEIS DE REFERÊNCIA'!$N$277:$N$279</c:f>
              <c:numCache>
                <c:formatCode>#,##0.00_ ;[Red]\-#,##0.00\ </c:formatCode>
                <c:ptCount val="3"/>
                <c:pt idx="0">
                  <c:v>384.31787900411416</c:v>
                </c:pt>
                <c:pt idx="1">
                  <c:v>384.31787900411416</c:v>
                </c:pt>
                <c:pt idx="2">
                  <c:v>384.31787900411416</c:v>
                </c:pt>
              </c:numCache>
            </c:numRef>
          </c:val>
          <c:smooth val="0"/>
          <c:extLst>
            <c:ext xmlns:c16="http://schemas.microsoft.com/office/drawing/2014/chart" uri="{C3380CC4-5D6E-409C-BE32-E72D297353CC}">
              <c16:uniqueId val="{00000002-E2A6-4126-B145-99E017D8B344}"/>
            </c:ext>
          </c:extLst>
        </c:ser>
        <c:dLbls>
          <c:showLegendKey val="0"/>
          <c:showVal val="0"/>
          <c:showCatName val="0"/>
          <c:showSerName val="0"/>
          <c:showPercent val="0"/>
          <c:showBubbleSize val="0"/>
        </c:dLbls>
        <c:marker val="1"/>
        <c:smooth val="0"/>
        <c:axId val="922347583"/>
        <c:axId val="922348063"/>
      </c:lineChart>
      <c:scatterChart>
        <c:scatterStyle val="lineMarker"/>
        <c:varyColors val="0"/>
        <c:ser>
          <c:idx val="3"/>
          <c:order val="3"/>
          <c:tx>
            <c:strRef>
              <c:f>'IMÓVEIS DE REFERÊNCIA'!$B$276</c:f>
              <c:strCache>
                <c:ptCount val="1"/>
                <c:pt idx="0">
                  <c:v>Valor unitário homogeneizado</c:v>
                </c:pt>
              </c:strCache>
            </c:strRef>
          </c:tx>
          <c:spPr>
            <a:ln w="25400" cap="rnd">
              <a:noFill/>
              <a:round/>
            </a:ln>
            <a:effectLst/>
          </c:spPr>
          <c:marker>
            <c:symbol val="diamond"/>
            <c:size val="8"/>
            <c:spPr>
              <a:solidFill>
                <a:srgbClr val="336699"/>
              </a:solidFill>
              <a:ln w="9525">
                <a:noFill/>
              </a:ln>
              <a:effectLst/>
            </c:spPr>
          </c:marker>
          <c:yVal>
            <c:numRef>
              <c:f>'IMÓVEIS DE REFERÊNCIA'!$C$277:$C$279</c:f>
              <c:numCache>
                <c:formatCode>#,##0.00_ ;[Red]\-#,##0.00\ </c:formatCode>
                <c:ptCount val="3"/>
                <c:pt idx="0">
                  <c:v>646.05706734735031</c:v>
                </c:pt>
                <c:pt idx="1">
                  <c:v>461.34537697354864</c:v>
                </c:pt>
                <c:pt idx="2">
                  <c:v>475.90278779779419</c:v>
                </c:pt>
              </c:numCache>
            </c:numRef>
          </c:yVal>
          <c:smooth val="0"/>
          <c:extLst>
            <c:ext xmlns:c16="http://schemas.microsoft.com/office/drawing/2014/chart" uri="{C3380CC4-5D6E-409C-BE32-E72D297353CC}">
              <c16:uniqueId val="{00000003-E2A6-4126-B145-99E017D8B344}"/>
            </c:ext>
          </c:extLst>
        </c:ser>
        <c:dLbls>
          <c:showLegendKey val="0"/>
          <c:showVal val="0"/>
          <c:showCatName val="0"/>
          <c:showSerName val="0"/>
          <c:showPercent val="0"/>
          <c:showBubbleSize val="0"/>
        </c:dLbls>
        <c:axId val="922347583"/>
        <c:axId val="922348063"/>
      </c:scatterChart>
      <c:catAx>
        <c:axId val="922347583"/>
        <c:scaling>
          <c:orientation val="minMax"/>
        </c:scaling>
        <c:delete val="0"/>
        <c:axPos val="b"/>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2348063"/>
        <c:crosses val="autoZero"/>
        <c:auto val="1"/>
        <c:lblAlgn val="ctr"/>
        <c:lblOffset val="100"/>
        <c:noMultiLvlLbl val="0"/>
      </c:catAx>
      <c:valAx>
        <c:axId val="922348063"/>
        <c:scaling>
          <c:orientation val="minMax"/>
        </c:scaling>
        <c:delete val="0"/>
        <c:axPos val="l"/>
        <c:numFmt formatCode="#,##0.00_ ;[Red]\-#,##0.0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2347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r>
              <a:rPr lang="en-US" sz="1200" b="1"/>
              <a:t>Elementos da amostra: fatores de depreciação antes da homogeneização</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strRef>
              <c:f>'IMÓVEIS DE REFERÊNCIA'!$N$3</c:f>
              <c:strCache>
                <c:ptCount val="1"/>
                <c:pt idx="0">
                  <c:v>Fatores de depreciação antes da homogeneização</c:v>
                </c:pt>
              </c:strCache>
            </c:strRef>
          </c:tx>
          <c:spPr>
            <a:solidFill>
              <a:srgbClr val="C00000"/>
            </a:solidFill>
            <a:ln>
              <a:noFill/>
            </a:ln>
            <a:effectLst/>
          </c:spPr>
          <c:invertIfNegative val="0"/>
          <c:dLbls>
            <c:numFmt formatCode="#,##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'IMÓVEIS DE REFERÊNCIA'!$N$4:$N$6</c:f>
              <c:numCache>
                <c:formatCode>#,##0.00_ ;[Red]\-#,##0.00\ </c:formatCode>
                <c:ptCount val="3"/>
                <c:pt idx="0">
                  <c:v>0.88002777777777785</c:v>
                </c:pt>
                <c:pt idx="1">
                  <c:v>0.98277777777777775</c:v>
                </c:pt>
                <c:pt idx="2">
                  <c:v>0.75817777777777784</c:v>
                </c:pt>
              </c:numCache>
            </c:numRef>
          </c:val>
          <c:extLst>
            <c:ext xmlns:c16="http://schemas.microsoft.com/office/drawing/2014/chart" uri="{C3380CC4-5D6E-409C-BE32-E72D297353CC}">
              <c16:uniqueId val="{00000000-94F5-490A-9DC4-E8A301A93AD0}"/>
            </c:ext>
          </c:extLst>
        </c:ser>
        <c:dLbls>
          <c:showLegendKey val="0"/>
          <c:showVal val="0"/>
          <c:showCatName val="0"/>
          <c:showSerName val="0"/>
          <c:showPercent val="0"/>
          <c:showBubbleSize val="0"/>
        </c:dLbls>
        <c:gapWidth val="219"/>
        <c:overlap val="-27"/>
        <c:axId val="104814111"/>
        <c:axId val="104820351"/>
      </c:barChart>
      <c:catAx>
        <c:axId val="10481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20351"/>
        <c:crosses val="autoZero"/>
        <c:auto val="1"/>
        <c:lblAlgn val="ctr"/>
        <c:lblOffset val="100"/>
        <c:noMultiLvlLbl val="0"/>
      </c:catAx>
      <c:valAx>
        <c:axId val="104820351"/>
        <c:scaling>
          <c:orientation val="minMax"/>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14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chart>
  <c:spPr>
    <a:solidFill>
      <a:schemeClr val="bg1"/>
    </a:solidFill>
    <a:ln w="12700"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r>
              <a:rPr lang="en-US" sz="1200" b="1"/>
              <a:t>Comparação</a:t>
            </a:r>
            <a:r>
              <a:rPr lang="en-US" sz="1200" b="1" baseline="0"/>
              <a:t> dos elementos da amostra ao paradigma</a:t>
            </a:r>
            <a:endParaRPr lang="en-U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strRef>
              <c:f>'IMÓVEIS DE REFERÊNCIA'!$N$3</c:f>
              <c:strCache>
                <c:ptCount val="1"/>
                <c:pt idx="0">
                  <c:v>Fatores de depreciação antes da homogeneização</c:v>
                </c:pt>
              </c:strCache>
            </c:strRef>
          </c:tx>
          <c:spPr>
            <a:solidFill>
              <a:srgbClr val="C00000"/>
            </a:solidFill>
            <a:ln>
              <a:noFill/>
            </a:ln>
            <a:effectLst/>
          </c:spPr>
          <c:invertIfNegative val="0"/>
          <c:val>
            <c:numRef>
              <c:f>'IMÓVEIS DE REFERÊNCIA'!$N$4:$N$6</c:f>
              <c:numCache>
                <c:formatCode>#,##0.00_ ;[Red]\-#,##0.00\ </c:formatCode>
                <c:ptCount val="3"/>
                <c:pt idx="0">
                  <c:v>0.88002777777777785</c:v>
                </c:pt>
                <c:pt idx="1">
                  <c:v>0.98277777777777775</c:v>
                </c:pt>
                <c:pt idx="2">
                  <c:v>0.75817777777777784</c:v>
                </c:pt>
              </c:numCache>
            </c:numRef>
          </c:val>
          <c:extLst>
            <c:ext xmlns:c16="http://schemas.microsoft.com/office/drawing/2014/chart" uri="{C3380CC4-5D6E-409C-BE32-E72D297353CC}">
              <c16:uniqueId val="{00000000-4B15-4D19-A1E2-1662076A4C9B}"/>
            </c:ext>
          </c:extLst>
        </c:ser>
        <c:dLbls>
          <c:showLegendKey val="0"/>
          <c:showVal val="0"/>
          <c:showCatName val="0"/>
          <c:showSerName val="0"/>
          <c:showPercent val="0"/>
          <c:showBubbleSize val="0"/>
        </c:dLbls>
        <c:gapWidth val="219"/>
        <c:overlap val="-27"/>
        <c:axId val="104814111"/>
        <c:axId val="104820351"/>
      </c:barChart>
      <c:lineChart>
        <c:grouping val="percentStacked"/>
        <c:varyColors val="0"/>
        <c:ser>
          <c:idx val="1"/>
          <c:order val="1"/>
          <c:tx>
            <c:strRef>
              <c:f>'IMÓVEIS DE REFERÊNCIA'!$O$3</c:f>
              <c:strCache>
                <c:ptCount val="1"/>
                <c:pt idx="0">
                  <c:v>Paradigma: 1,00</c:v>
                </c:pt>
              </c:strCache>
            </c:strRef>
          </c:tx>
          <c:spPr>
            <a:ln w="25400" cap="rnd">
              <a:solidFill>
                <a:schemeClr val="tx2">
                  <a:lumMod val="75000"/>
                  <a:lumOff val="25000"/>
                </a:schemeClr>
              </a:solidFill>
              <a:round/>
            </a:ln>
            <a:effectLst/>
          </c:spPr>
          <c:marker>
            <c:symbol val="none"/>
          </c:marker>
          <c:val>
            <c:numRef>
              <c:f>'IMÓVEIS DE REFERÊNCIA'!$O$4:$O$6</c:f>
              <c:numCache>
                <c:formatCode>#,##0.00_ ;[Red]\-#,##0.00\ </c:formatCode>
                <c:ptCount val="3"/>
                <c:pt idx="0">
                  <c:v>1</c:v>
                </c:pt>
                <c:pt idx="1">
                  <c:v>1</c:v>
                </c:pt>
                <c:pt idx="2">
                  <c:v>1</c:v>
                </c:pt>
              </c:numCache>
            </c:numRef>
          </c:val>
          <c:smooth val="0"/>
          <c:extLst>
            <c:ext xmlns:c16="http://schemas.microsoft.com/office/drawing/2014/chart" uri="{C3380CC4-5D6E-409C-BE32-E72D297353CC}">
              <c16:uniqueId val="{00000001-4B15-4D19-A1E2-1662076A4C9B}"/>
            </c:ext>
          </c:extLst>
        </c:ser>
        <c:dLbls>
          <c:showLegendKey val="0"/>
          <c:showVal val="0"/>
          <c:showCatName val="0"/>
          <c:showSerName val="0"/>
          <c:showPercent val="0"/>
          <c:showBubbleSize val="0"/>
        </c:dLbls>
        <c:marker val="1"/>
        <c:smooth val="0"/>
        <c:axId val="104814111"/>
        <c:axId val="104820351"/>
      </c:lineChart>
      <c:catAx>
        <c:axId val="10481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20351"/>
        <c:crosses val="autoZero"/>
        <c:auto val="1"/>
        <c:lblAlgn val="ctr"/>
        <c:lblOffset val="100"/>
        <c:noMultiLvlLbl val="0"/>
      </c:catAx>
      <c:valAx>
        <c:axId val="104820351"/>
        <c:scaling>
          <c:orientation val="minMax"/>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14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chart>
  <c:spPr>
    <a:solidFill>
      <a:schemeClr val="bg1"/>
    </a:solidFill>
    <a:ln w="12700"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r>
              <a:rPr lang="en-US" sz="1200" b="1"/>
              <a:t>Elementos da amostra: fatores de depreciação após a homogeneização</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Fatores após a homogeneização</c:v>
          </c:tx>
          <c:spPr>
            <a:solidFill>
              <a:srgbClr val="C00000"/>
            </a:solidFill>
            <a:ln>
              <a:noFill/>
            </a:ln>
            <a:effectLst/>
          </c:spPr>
          <c:invertIfNegative val="0"/>
          <c:dLbls>
            <c:delete val="1"/>
          </c:dLbls>
          <c:val>
            <c:numRef>
              <c:f>'IMÓVEIS DE REFERÊNCIA'!$P$4:$P$6</c:f>
              <c:numCache>
                <c:formatCode>#,##0.00_ ;[Red]\-#,##0.00\ </c:formatCode>
                <c:ptCount val="3"/>
                <c:pt idx="0">
                  <c:v>1</c:v>
                </c:pt>
                <c:pt idx="1">
                  <c:v>1</c:v>
                </c:pt>
                <c:pt idx="2">
                  <c:v>1</c:v>
                </c:pt>
              </c:numCache>
            </c:numRef>
          </c:val>
          <c:extLst>
            <c:ext xmlns:c16="http://schemas.microsoft.com/office/drawing/2014/chart" uri="{C3380CC4-5D6E-409C-BE32-E72D297353CC}">
              <c16:uniqueId val="{00000000-E8A5-4934-9793-86A321CDA89E}"/>
            </c:ext>
          </c:extLst>
        </c:ser>
        <c:dLbls>
          <c:showLegendKey val="0"/>
          <c:showVal val="1"/>
          <c:showCatName val="0"/>
          <c:showSerName val="0"/>
          <c:showPercent val="0"/>
          <c:showBubbleSize val="0"/>
        </c:dLbls>
        <c:gapWidth val="219"/>
        <c:overlap val="-27"/>
        <c:axId val="104814111"/>
        <c:axId val="104820351"/>
      </c:barChart>
      <c:lineChart>
        <c:grouping val="percentStacked"/>
        <c:varyColors val="0"/>
        <c:ser>
          <c:idx val="1"/>
          <c:order val="1"/>
          <c:tx>
            <c:v>Paradigma</c:v>
          </c:tx>
          <c:spPr>
            <a:ln w="25400" cap="rnd">
              <a:solidFill>
                <a:srgbClr val="336699"/>
              </a:solidFill>
              <a:round/>
            </a:ln>
            <a:effectLst/>
          </c:spPr>
          <c:marker>
            <c:symbol val="none"/>
          </c:marker>
          <c:val>
            <c:numRef>
              <c:f>'IMÓVEIS DE REFERÊNCIA'!$O$4:$O$6</c:f>
              <c:numCache>
                <c:formatCode>#,##0.00_ ;[Red]\-#,##0.00\ </c:formatCode>
                <c:ptCount val="3"/>
                <c:pt idx="0">
                  <c:v>1</c:v>
                </c:pt>
                <c:pt idx="1">
                  <c:v>1</c:v>
                </c:pt>
                <c:pt idx="2">
                  <c:v>1</c:v>
                </c:pt>
              </c:numCache>
            </c:numRef>
          </c:val>
          <c:smooth val="0"/>
          <c:extLst>
            <c:ext xmlns:c16="http://schemas.microsoft.com/office/drawing/2014/chart" uri="{C3380CC4-5D6E-409C-BE32-E72D297353CC}">
              <c16:uniqueId val="{00000001-E8A5-4934-9793-86A321CDA89E}"/>
            </c:ext>
          </c:extLst>
        </c:ser>
        <c:dLbls>
          <c:showLegendKey val="0"/>
          <c:showVal val="0"/>
          <c:showCatName val="0"/>
          <c:showSerName val="0"/>
          <c:showPercent val="0"/>
          <c:showBubbleSize val="0"/>
        </c:dLbls>
        <c:marker val="1"/>
        <c:smooth val="0"/>
        <c:axId val="104814111"/>
        <c:axId val="104820351"/>
      </c:lineChart>
      <c:catAx>
        <c:axId val="10481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20351"/>
        <c:crosses val="autoZero"/>
        <c:auto val="1"/>
        <c:lblAlgn val="ctr"/>
        <c:lblOffset val="100"/>
        <c:noMultiLvlLbl val="0"/>
      </c:catAx>
      <c:valAx>
        <c:axId val="104820351"/>
        <c:scaling>
          <c:orientation val="minMax"/>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14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chart>
  <c:spPr>
    <a:solidFill>
      <a:schemeClr val="bg1"/>
    </a:solidFill>
    <a:ln w="12700"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r>
              <a:rPr lang="en-US" sz="1200" b="1"/>
              <a:t>Elementos</a:t>
            </a:r>
            <a:r>
              <a:rPr lang="en-US" sz="1200" b="1" baseline="0"/>
              <a:t> da amostra: </a:t>
            </a:r>
            <a:r>
              <a:rPr lang="en-US" sz="1200" b="1"/>
              <a:t>valores após a </a:t>
            </a:r>
            <a:r>
              <a:rPr lang="en-US" sz="1200" b="1" baseline="0"/>
              <a:t>homogeneização</a:t>
            </a:r>
            <a:endParaRPr lang="en-U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strRef>
              <c:f>'IMÓVEIS DE REFERÊNCIA'!$R$3</c:f>
              <c:strCache>
                <c:ptCount val="1"/>
                <c:pt idx="0">
                  <c:v>Valores posteriores à homogeneização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'IMÓVEIS DE REFERÊNCIA'!$R$4:$R$6</c:f>
              <c:numCache>
                <c:formatCode>#,##0.00_ ;[Red]\-#,##0.00\ </c:formatCode>
                <c:ptCount val="3"/>
                <c:pt idx="0">
                  <c:v>646.05706734735031</c:v>
                </c:pt>
                <c:pt idx="1">
                  <c:v>461.34537697354864</c:v>
                </c:pt>
                <c:pt idx="2">
                  <c:v>475.90278779779419</c:v>
                </c:pt>
              </c:numCache>
            </c:numRef>
          </c:val>
          <c:extLst>
            <c:ext xmlns:c16="http://schemas.microsoft.com/office/drawing/2014/chart" uri="{C3380CC4-5D6E-409C-BE32-E72D297353CC}">
              <c16:uniqueId val="{00000000-B74E-4C71-BFCA-39F338F648BE}"/>
            </c:ext>
          </c:extLst>
        </c:ser>
        <c:dLbls>
          <c:showLegendKey val="0"/>
          <c:showVal val="0"/>
          <c:showCatName val="0"/>
          <c:showSerName val="0"/>
          <c:showPercent val="0"/>
          <c:showBubbleSize val="0"/>
        </c:dLbls>
        <c:gapWidth val="219"/>
        <c:overlap val="-27"/>
        <c:axId val="104814111"/>
        <c:axId val="104820351"/>
      </c:barChart>
      <c:catAx>
        <c:axId val="10481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20351"/>
        <c:crosses val="autoZero"/>
        <c:auto val="1"/>
        <c:lblAlgn val="ctr"/>
        <c:lblOffset val="100"/>
        <c:noMultiLvlLbl val="0"/>
      </c:catAx>
      <c:valAx>
        <c:axId val="104820351"/>
        <c:scaling>
          <c:orientation val="minMax"/>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4814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chart>
  <c:spPr>
    <a:solidFill>
      <a:schemeClr val="bg1"/>
    </a:solidFill>
    <a:ln w="12700"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2.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504817</xdr:colOff>
      <xdr:row>303</xdr:row>
      <xdr:rowOff>247649</xdr:rowOff>
    </xdr:from>
    <xdr:to>
      <xdr:col>13</xdr:col>
      <xdr:colOff>206917</xdr:colOff>
      <xdr:row>318</xdr:row>
      <xdr:rowOff>132899</xdr:rowOff>
    </xdr:to>
    <xdr:graphicFrame macro="">
      <xdr:nvGraphicFramePr>
        <xdr:cNvPr id="2" name="Gráfico 1">
          <a:extLst>
            <a:ext uri="{FF2B5EF4-FFF2-40B4-BE49-F238E27FC236}">
              <a16:creationId xmlns:a16="http://schemas.microsoft.com/office/drawing/2014/main" id="{BF1A064B-3584-43BA-94D4-EA8454518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265</xdr:row>
      <xdr:rowOff>828</xdr:rowOff>
    </xdr:from>
    <xdr:to>
      <xdr:col>13</xdr:col>
      <xdr:colOff>206925</xdr:colOff>
      <xdr:row>279</xdr:row>
      <xdr:rowOff>133728</xdr:rowOff>
    </xdr:to>
    <xdr:graphicFrame macro="">
      <xdr:nvGraphicFramePr>
        <xdr:cNvPr id="4" name="Gráfico 3">
          <a:extLst>
            <a:ext uri="{FF2B5EF4-FFF2-40B4-BE49-F238E27FC236}">
              <a16:creationId xmlns:a16="http://schemas.microsoft.com/office/drawing/2014/main" id="{F69FB441-831D-4C91-A65F-9D152409C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228</xdr:row>
      <xdr:rowOff>247649</xdr:rowOff>
    </xdr:from>
    <xdr:to>
      <xdr:col>13</xdr:col>
      <xdr:colOff>206925</xdr:colOff>
      <xdr:row>243</xdr:row>
      <xdr:rowOff>132899</xdr:rowOff>
    </xdr:to>
    <xdr:graphicFrame macro="">
      <xdr:nvGraphicFramePr>
        <xdr:cNvPr id="5" name="Gráfico 4">
          <a:extLst>
            <a:ext uri="{FF2B5EF4-FFF2-40B4-BE49-F238E27FC236}">
              <a16:creationId xmlns:a16="http://schemas.microsoft.com/office/drawing/2014/main" id="{05D778ED-7ABE-4D65-9EE2-067DB899B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105</xdr:row>
      <xdr:rowOff>0</xdr:rowOff>
    </xdr:from>
    <xdr:to>
      <xdr:col>16</xdr:col>
      <xdr:colOff>132450</xdr:colOff>
      <xdr:row>119</xdr:row>
      <xdr:rowOff>132900</xdr:rowOff>
    </xdr:to>
    <xdr:graphicFrame macro="">
      <xdr:nvGraphicFramePr>
        <xdr:cNvPr id="7" name="Gráfico 6">
          <a:extLst>
            <a:ext uri="{FF2B5EF4-FFF2-40B4-BE49-F238E27FC236}">
              <a16:creationId xmlns:a16="http://schemas.microsoft.com/office/drawing/2014/main" id="{63C1A9C3-C961-4A9E-8C56-B605F1B64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140</xdr:row>
      <xdr:rowOff>0</xdr:rowOff>
    </xdr:from>
    <xdr:to>
      <xdr:col>16</xdr:col>
      <xdr:colOff>132450</xdr:colOff>
      <xdr:row>154</xdr:row>
      <xdr:rowOff>132900</xdr:rowOff>
    </xdr:to>
    <xdr:graphicFrame macro="">
      <xdr:nvGraphicFramePr>
        <xdr:cNvPr id="9" name="Gráfico 8">
          <a:extLst>
            <a:ext uri="{FF2B5EF4-FFF2-40B4-BE49-F238E27FC236}">
              <a16:creationId xmlns:a16="http://schemas.microsoft.com/office/drawing/2014/main" id="{ED7B96FC-0BE2-4503-88C1-12FFD325F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159</xdr:row>
      <xdr:rowOff>0</xdr:rowOff>
    </xdr:from>
    <xdr:to>
      <xdr:col>16</xdr:col>
      <xdr:colOff>132450</xdr:colOff>
      <xdr:row>173</xdr:row>
      <xdr:rowOff>132900</xdr:rowOff>
    </xdr:to>
    <xdr:graphicFrame macro="">
      <xdr:nvGraphicFramePr>
        <xdr:cNvPr id="10" name="Gráfico 9">
          <a:extLst>
            <a:ext uri="{FF2B5EF4-FFF2-40B4-BE49-F238E27FC236}">
              <a16:creationId xmlns:a16="http://schemas.microsoft.com/office/drawing/2014/main" id="{A684F292-6714-4492-8139-842CC3ED1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0</xdr:colOff>
      <xdr:row>121</xdr:row>
      <xdr:rowOff>0</xdr:rowOff>
    </xdr:from>
    <xdr:to>
      <xdr:col>16</xdr:col>
      <xdr:colOff>132450</xdr:colOff>
      <xdr:row>135</xdr:row>
      <xdr:rowOff>132900</xdr:rowOff>
    </xdr:to>
    <xdr:graphicFrame macro="">
      <xdr:nvGraphicFramePr>
        <xdr:cNvPr id="14" name="Gráfico 13">
          <a:extLst>
            <a:ext uri="{FF2B5EF4-FFF2-40B4-BE49-F238E27FC236}">
              <a16:creationId xmlns:a16="http://schemas.microsoft.com/office/drawing/2014/main" id="{2DA99DB9-73FF-49B9-BB0F-E080B39F1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38100</xdr:colOff>
      <xdr:row>0</xdr:row>
      <xdr:rowOff>38100</xdr:rowOff>
    </xdr:from>
    <xdr:to>
      <xdr:col>15</xdr:col>
      <xdr:colOff>238125</xdr:colOff>
      <xdr:row>0</xdr:row>
      <xdr:rowOff>1622473</xdr:rowOff>
    </xdr:to>
    <xdr:pic>
      <xdr:nvPicPr>
        <xdr:cNvPr id="8" name="Imagem 7">
          <a:extLst>
            <a:ext uri="{FF2B5EF4-FFF2-40B4-BE49-F238E27FC236}">
              <a16:creationId xmlns:a16="http://schemas.microsoft.com/office/drawing/2014/main" id="{852743CC-C9AA-45E5-A956-0F74E6402C8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0" y="38100"/>
          <a:ext cx="7772400" cy="1584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323</xdr:row>
      <xdr:rowOff>247649</xdr:rowOff>
    </xdr:from>
    <xdr:to>
      <xdr:col>5</xdr:col>
      <xdr:colOff>1367626</xdr:colOff>
      <xdr:row>341</xdr:row>
      <xdr:rowOff>109949</xdr:rowOff>
    </xdr:to>
    <xdr:pic>
      <xdr:nvPicPr>
        <xdr:cNvPr id="4" name="Imagem 3">
          <a:extLst>
            <a:ext uri="{FF2B5EF4-FFF2-40B4-BE49-F238E27FC236}">
              <a16:creationId xmlns:a16="http://schemas.microsoft.com/office/drawing/2014/main" id="{60191368-FFEC-489F-BD84-83A8CA84C3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5" y="95249999"/>
          <a:ext cx="7654126" cy="4320000"/>
        </a:xfrm>
        <a:prstGeom prst="rect">
          <a:avLst/>
        </a:prstGeom>
        <a:ln w="12700">
          <a:solidFill>
            <a:schemeClr val="bg1">
              <a:lumMod val="95000"/>
            </a:schemeClr>
          </a:solidFill>
        </a:ln>
        <a:effectLst>
          <a:outerShdw blurRad="50800" dist="38100" dir="2700000" algn="tl" rotWithShape="0">
            <a:prstClr val="black">
              <a:alpha val="40000"/>
            </a:prstClr>
          </a:outerShdw>
        </a:effectLst>
      </xdr:spPr>
    </xdr:pic>
    <xdr:clientData/>
  </xdr:twoCellAnchor>
  <xdr:twoCellAnchor editAs="oneCell">
    <xdr:from>
      <xdr:col>1</xdr:col>
      <xdr:colOff>0</xdr:colOff>
      <xdr:row>220</xdr:row>
      <xdr:rowOff>0</xdr:rowOff>
    </xdr:from>
    <xdr:to>
      <xdr:col>5</xdr:col>
      <xdr:colOff>913500</xdr:colOff>
      <xdr:row>234</xdr:row>
      <xdr:rowOff>132900</xdr:rowOff>
    </xdr:to>
    <xdr:graphicFrame macro="">
      <xdr:nvGraphicFramePr>
        <xdr:cNvPr id="7" name="Gráfico 6">
          <a:extLst>
            <a:ext uri="{FF2B5EF4-FFF2-40B4-BE49-F238E27FC236}">
              <a16:creationId xmlns:a16="http://schemas.microsoft.com/office/drawing/2014/main" id="{D2E8A858-190C-4788-9367-4DD68198E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256</xdr:row>
      <xdr:rowOff>0</xdr:rowOff>
    </xdr:from>
    <xdr:to>
      <xdr:col>5</xdr:col>
      <xdr:colOff>913500</xdr:colOff>
      <xdr:row>270</xdr:row>
      <xdr:rowOff>132900</xdr:rowOff>
    </xdr:to>
    <xdr:graphicFrame macro="">
      <xdr:nvGraphicFramePr>
        <xdr:cNvPr id="10" name="Gráfico 9">
          <a:extLst>
            <a:ext uri="{FF2B5EF4-FFF2-40B4-BE49-F238E27FC236}">
              <a16:creationId xmlns:a16="http://schemas.microsoft.com/office/drawing/2014/main" id="{33CE9DF1-A250-4C7A-96A6-A99226E79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294</xdr:row>
      <xdr:rowOff>0</xdr:rowOff>
    </xdr:from>
    <xdr:to>
      <xdr:col>5</xdr:col>
      <xdr:colOff>913500</xdr:colOff>
      <xdr:row>308</xdr:row>
      <xdr:rowOff>132900</xdr:rowOff>
    </xdr:to>
    <xdr:graphicFrame macro="">
      <xdr:nvGraphicFramePr>
        <xdr:cNvPr id="16" name="Gráfico 15">
          <a:extLst>
            <a:ext uri="{FF2B5EF4-FFF2-40B4-BE49-F238E27FC236}">
              <a16:creationId xmlns:a16="http://schemas.microsoft.com/office/drawing/2014/main" id="{CB498ED4-E36B-4A9D-B622-031979645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136</xdr:row>
      <xdr:rowOff>0</xdr:rowOff>
    </xdr:from>
    <xdr:to>
      <xdr:col>5</xdr:col>
      <xdr:colOff>913500</xdr:colOff>
      <xdr:row>150</xdr:row>
      <xdr:rowOff>132900</xdr:rowOff>
    </xdr:to>
    <xdr:graphicFrame macro="">
      <xdr:nvGraphicFramePr>
        <xdr:cNvPr id="17" name="Gráfico 16">
          <a:extLst>
            <a:ext uri="{FF2B5EF4-FFF2-40B4-BE49-F238E27FC236}">
              <a16:creationId xmlns:a16="http://schemas.microsoft.com/office/drawing/2014/main" id="{EF1DBBB3-4491-48CC-8488-393CA040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153</xdr:row>
      <xdr:rowOff>0</xdr:rowOff>
    </xdr:from>
    <xdr:to>
      <xdr:col>5</xdr:col>
      <xdr:colOff>913500</xdr:colOff>
      <xdr:row>167</xdr:row>
      <xdr:rowOff>132900</xdr:rowOff>
    </xdr:to>
    <xdr:graphicFrame macro="">
      <xdr:nvGraphicFramePr>
        <xdr:cNvPr id="18" name="Gráfico 17">
          <a:extLst>
            <a:ext uri="{FF2B5EF4-FFF2-40B4-BE49-F238E27FC236}">
              <a16:creationId xmlns:a16="http://schemas.microsoft.com/office/drawing/2014/main" id="{74C32646-DD72-45CF-88D3-67E4C6F2B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170</xdr:row>
      <xdr:rowOff>0</xdr:rowOff>
    </xdr:from>
    <xdr:to>
      <xdr:col>5</xdr:col>
      <xdr:colOff>913500</xdr:colOff>
      <xdr:row>184</xdr:row>
      <xdr:rowOff>132900</xdr:rowOff>
    </xdr:to>
    <xdr:graphicFrame macro="">
      <xdr:nvGraphicFramePr>
        <xdr:cNvPr id="22" name="Gráfico 21">
          <a:extLst>
            <a:ext uri="{FF2B5EF4-FFF2-40B4-BE49-F238E27FC236}">
              <a16:creationId xmlns:a16="http://schemas.microsoft.com/office/drawing/2014/main" id="{72CE2CBC-8707-4B7D-953E-97982823B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187</xdr:row>
      <xdr:rowOff>0</xdr:rowOff>
    </xdr:from>
    <xdr:to>
      <xdr:col>5</xdr:col>
      <xdr:colOff>913500</xdr:colOff>
      <xdr:row>201</xdr:row>
      <xdr:rowOff>132900</xdr:rowOff>
    </xdr:to>
    <xdr:graphicFrame macro="">
      <xdr:nvGraphicFramePr>
        <xdr:cNvPr id="23" name="Gráfico 22">
          <a:extLst>
            <a:ext uri="{FF2B5EF4-FFF2-40B4-BE49-F238E27FC236}">
              <a16:creationId xmlns:a16="http://schemas.microsoft.com/office/drawing/2014/main" id="{46E143C8-00B5-4CC9-9181-8A4A7B6A2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0225D-CEDD-4449-9BC3-BF25DA2EA941}">
  <sheetPr>
    <tabColor theme="0" tint="-0.249977111117893"/>
    <pageSetUpPr fitToPage="1"/>
  </sheetPr>
  <dimension ref="A1:BN398"/>
  <sheetViews>
    <sheetView tabSelected="1" zoomScaleNormal="100" workbookViewId="0"/>
  </sheetViews>
  <sheetFormatPr defaultColWidth="4.75" defaultRowHeight="20.100000000000001" customHeight="1" x14ac:dyDescent="0.25"/>
  <cols>
    <col min="1" max="18" width="6.625" style="34" customWidth="1"/>
    <col min="19" max="21" width="20.625" style="32" customWidth="1"/>
    <col min="22" max="55" width="20.625" style="33" customWidth="1"/>
    <col min="56" max="64" width="20.625" style="34" customWidth="1"/>
    <col min="65" max="16384" width="4.75" style="34"/>
  </cols>
  <sheetData>
    <row r="1" spans="1:18" ht="140.1" customHeight="1" x14ac:dyDescent="0.25">
      <c r="A1" s="31"/>
      <c r="B1" s="31"/>
      <c r="C1" s="31"/>
      <c r="D1" s="31"/>
      <c r="E1" s="31"/>
      <c r="F1" s="31"/>
      <c r="G1" s="31"/>
      <c r="H1" s="31"/>
      <c r="I1" s="31"/>
      <c r="J1" s="31"/>
      <c r="K1" s="31"/>
      <c r="L1" s="31"/>
      <c r="M1" s="31"/>
      <c r="N1" s="31"/>
      <c r="O1" s="31"/>
      <c r="P1" s="31"/>
      <c r="Q1" s="31"/>
      <c r="R1" s="31"/>
    </row>
    <row r="2" spans="1:18" ht="5.0999999999999996" customHeight="1" x14ac:dyDescent="0.25"/>
    <row r="3" spans="1:18" ht="5.0999999999999996" customHeight="1" x14ac:dyDescent="0.25">
      <c r="A3" s="31"/>
      <c r="B3" s="31"/>
      <c r="C3" s="31"/>
      <c r="D3" s="31"/>
      <c r="E3" s="31"/>
      <c r="F3" s="31"/>
      <c r="G3" s="31"/>
      <c r="H3" s="31"/>
      <c r="I3" s="31"/>
      <c r="J3" s="31"/>
      <c r="K3" s="31"/>
      <c r="L3" s="31"/>
      <c r="M3" s="31"/>
      <c r="N3" s="31"/>
      <c r="O3" s="31"/>
      <c r="P3" s="31"/>
      <c r="Q3" s="31"/>
      <c r="R3" s="31"/>
    </row>
    <row r="5" spans="1:18" ht="20.100000000000001" customHeight="1" x14ac:dyDescent="0.25">
      <c r="A5" s="21"/>
      <c r="B5" s="21"/>
      <c r="C5" s="21"/>
      <c r="D5" s="21"/>
      <c r="E5" s="21"/>
      <c r="F5" s="21"/>
      <c r="G5" s="21"/>
      <c r="H5" s="21"/>
    </row>
    <row r="6" spans="1:18" ht="20.100000000000001" customHeight="1" x14ac:dyDescent="0.25">
      <c r="A6" s="94" t="s">
        <v>113</v>
      </c>
      <c r="B6" s="94"/>
      <c r="C6" s="94"/>
      <c r="D6" s="94"/>
      <c r="E6" s="94"/>
      <c r="F6" s="94"/>
      <c r="G6" s="94"/>
      <c r="H6" s="94"/>
      <c r="I6" s="94"/>
      <c r="J6" s="94"/>
      <c r="K6" s="94"/>
      <c r="L6" s="94"/>
      <c r="M6" s="94"/>
      <c r="N6" s="94"/>
      <c r="O6" s="94"/>
      <c r="P6" s="94"/>
      <c r="Q6" s="94"/>
      <c r="R6" s="94"/>
    </row>
    <row r="7" spans="1:18" ht="20.100000000000001" customHeight="1" x14ac:dyDescent="0.25">
      <c r="A7" s="21"/>
      <c r="B7" s="21"/>
      <c r="C7" s="21"/>
      <c r="D7" s="21"/>
      <c r="E7" s="21"/>
      <c r="F7" s="21"/>
      <c r="G7" s="21"/>
      <c r="H7" s="21"/>
    </row>
    <row r="8" spans="1:18" ht="20.100000000000001" customHeight="1" x14ac:dyDescent="0.25">
      <c r="A8" s="123" t="s">
        <v>218</v>
      </c>
      <c r="B8" s="123"/>
      <c r="C8" s="123"/>
      <c r="D8" s="123"/>
      <c r="E8" s="123"/>
      <c r="F8" s="123"/>
      <c r="G8" s="123"/>
      <c r="H8" s="123"/>
      <c r="I8" s="123"/>
      <c r="J8" s="123"/>
      <c r="K8" s="123"/>
      <c r="L8" s="123"/>
      <c r="M8" s="123"/>
      <c r="N8" s="123"/>
      <c r="O8" s="123"/>
      <c r="P8" s="123"/>
      <c r="Q8" s="123"/>
      <c r="R8" s="123"/>
    </row>
    <row r="9" spans="1:18" ht="20.100000000000001" customHeight="1" x14ac:dyDescent="0.25">
      <c r="A9" s="123"/>
      <c r="B9" s="123"/>
      <c r="C9" s="123"/>
      <c r="D9" s="123"/>
      <c r="E9" s="123"/>
      <c r="F9" s="123"/>
      <c r="G9" s="123"/>
      <c r="H9" s="123"/>
      <c r="I9" s="123"/>
      <c r="J9" s="123"/>
      <c r="K9" s="123"/>
      <c r="L9" s="123"/>
      <c r="M9" s="123"/>
      <c r="N9" s="123"/>
      <c r="O9" s="123"/>
      <c r="P9" s="123"/>
      <c r="Q9" s="123"/>
      <c r="R9" s="123"/>
    </row>
    <row r="10" spans="1:18" ht="20.100000000000001" customHeight="1" x14ac:dyDescent="0.25">
      <c r="A10" s="123"/>
      <c r="B10" s="123"/>
      <c r="C10" s="123"/>
      <c r="D10" s="123"/>
      <c r="E10" s="123"/>
      <c r="F10" s="123"/>
      <c r="G10" s="123"/>
      <c r="H10" s="123"/>
      <c r="I10" s="123"/>
      <c r="J10" s="123"/>
      <c r="K10" s="123"/>
      <c r="L10" s="123"/>
      <c r="M10" s="123"/>
      <c r="N10" s="123"/>
      <c r="O10" s="123"/>
      <c r="P10" s="123"/>
      <c r="Q10" s="123"/>
      <c r="R10" s="123"/>
    </row>
    <row r="11" spans="1:18" ht="20.100000000000001" customHeight="1" x14ac:dyDescent="0.25">
      <c r="A11" s="123"/>
      <c r="B11" s="123"/>
      <c r="C11" s="123"/>
      <c r="D11" s="123"/>
      <c r="E11" s="123"/>
      <c r="F11" s="123"/>
      <c r="G11" s="123"/>
      <c r="H11" s="123"/>
      <c r="I11" s="123"/>
      <c r="J11" s="123"/>
      <c r="K11" s="123"/>
      <c r="L11" s="123"/>
      <c r="M11" s="123"/>
      <c r="N11" s="123"/>
      <c r="O11" s="123"/>
      <c r="P11" s="123"/>
      <c r="Q11" s="123"/>
      <c r="R11" s="123"/>
    </row>
    <row r="12" spans="1:18" ht="20.100000000000001" customHeight="1" x14ac:dyDescent="0.25">
      <c r="A12" s="123"/>
      <c r="B12" s="123"/>
      <c r="C12" s="123"/>
      <c r="D12" s="123"/>
      <c r="E12" s="123"/>
      <c r="F12" s="123"/>
      <c r="G12" s="123"/>
      <c r="H12" s="123"/>
      <c r="I12" s="123"/>
      <c r="J12" s="123"/>
      <c r="K12" s="123"/>
      <c r="L12" s="123"/>
      <c r="M12" s="123"/>
      <c r="N12" s="123"/>
      <c r="O12" s="123"/>
      <c r="P12" s="123"/>
      <c r="Q12" s="123"/>
      <c r="R12" s="123"/>
    </row>
    <row r="13" spans="1:18" ht="20.100000000000001" customHeight="1" x14ac:dyDescent="0.25">
      <c r="A13" s="123"/>
      <c r="B13" s="123"/>
      <c r="C13" s="123"/>
      <c r="D13" s="123"/>
      <c r="E13" s="123"/>
      <c r="F13" s="123"/>
      <c r="G13" s="123"/>
      <c r="H13" s="123"/>
      <c r="I13" s="123"/>
      <c r="J13" s="123"/>
      <c r="K13" s="123"/>
      <c r="L13" s="123"/>
      <c r="M13" s="123"/>
      <c r="N13" s="123"/>
      <c r="O13" s="123"/>
      <c r="P13" s="123"/>
      <c r="Q13" s="123"/>
      <c r="R13" s="123"/>
    </row>
    <row r="14" spans="1:18" ht="20.100000000000001" customHeight="1" x14ac:dyDescent="0.25">
      <c r="A14" s="123"/>
      <c r="B14" s="123"/>
      <c r="C14" s="123"/>
      <c r="D14" s="123"/>
      <c r="E14" s="123"/>
      <c r="F14" s="123"/>
      <c r="G14" s="123"/>
      <c r="H14" s="123"/>
      <c r="I14" s="123"/>
      <c r="J14" s="123"/>
      <c r="K14" s="123"/>
      <c r="L14" s="123"/>
      <c r="M14" s="123"/>
      <c r="N14" s="123"/>
      <c r="O14" s="123"/>
      <c r="P14" s="123"/>
      <c r="Q14" s="123"/>
      <c r="R14" s="123"/>
    </row>
    <row r="15" spans="1:18" ht="20.100000000000001" customHeight="1" x14ac:dyDescent="0.25">
      <c r="A15" s="123"/>
      <c r="B15" s="123"/>
      <c r="C15" s="123"/>
      <c r="D15" s="123"/>
      <c r="E15" s="123"/>
      <c r="F15" s="123"/>
      <c r="G15" s="123"/>
      <c r="H15" s="123"/>
      <c r="I15" s="123"/>
      <c r="J15" s="123"/>
      <c r="K15" s="123"/>
      <c r="L15" s="123"/>
      <c r="M15" s="123"/>
      <c r="N15" s="123"/>
      <c r="O15" s="123"/>
      <c r="P15" s="123"/>
      <c r="Q15" s="123"/>
      <c r="R15" s="123"/>
    </row>
    <row r="16" spans="1:18" ht="20.100000000000001" customHeight="1" x14ac:dyDescent="0.25">
      <c r="A16" s="123"/>
      <c r="B16" s="123"/>
      <c r="C16" s="123"/>
      <c r="D16" s="123"/>
      <c r="E16" s="123"/>
      <c r="F16" s="123"/>
      <c r="G16" s="123"/>
      <c r="H16" s="123"/>
      <c r="I16" s="123"/>
      <c r="J16" s="123"/>
      <c r="K16" s="123"/>
      <c r="L16" s="123"/>
      <c r="M16" s="123"/>
      <c r="N16" s="123"/>
      <c r="O16" s="123"/>
      <c r="P16" s="123"/>
      <c r="Q16" s="123"/>
      <c r="R16" s="123"/>
    </row>
    <row r="17" spans="1:18" ht="20.100000000000001" customHeight="1" x14ac:dyDescent="0.25">
      <c r="A17" s="123"/>
      <c r="B17" s="123"/>
      <c r="C17" s="123"/>
      <c r="D17" s="123"/>
      <c r="E17" s="123"/>
      <c r="F17" s="123"/>
      <c r="G17" s="123"/>
      <c r="H17" s="123"/>
      <c r="I17" s="123"/>
      <c r="J17" s="123"/>
      <c r="K17" s="123"/>
      <c r="L17" s="123"/>
      <c r="M17" s="123"/>
      <c r="N17" s="123"/>
      <c r="O17" s="123"/>
      <c r="P17" s="123"/>
      <c r="Q17" s="123"/>
      <c r="R17" s="123"/>
    </row>
    <row r="18" spans="1:18" ht="20.100000000000001" customHeight="1" x14ac:dyDescent="0.25">
      <c r="A18" s="123"/>
      <c r="B18" s="123"/>
      <c r="C18" s="123"/>
      <c r="D18" s="123"/>
      <c r="E18" s="123"/>
      <c r="F18" s="123"/>
      <c r="G18" s="123"/>
      <c r="H18" s="123"/>
      <c r="I18" s="123"/>
      <c r="J18" s="123"/>
      <c r="K18" s="123"/>
      <c r="L18" s="123"/>
      <c r="M18" s="123"/>
      <c r="N18" s="123"/>
      <c r="O18" s="123"/>
      <c r="P18" s="123"/>
      <c r="Q18" s="123"/>
      <c r="R18" s="123"/>
    </row>
    <row r="19" spans="1:18" ht="20.100000000000001" customHeight="1" x14ac:dyDescent="0.25">
      <c r="A19" s="24"/>
      <c r="B19" s="24"/>
      <c r="C19" s="24"/>
      <c r="D19" s="24"/>
      <c r="E19" s="24"/>
      <c r="F19" s="24"/>
      <c r="G19" s="24"/>
      <c r="H19" s="24"/>
    </row>
    <row r="20" spans="1:18" ht="20.100000000000001" customHeight="1" x14ac:dyDescent="0.25">
      <c r="A20" s="24"/>
      <c r="B20" s="24"/>
      <c r="C20" s="24"/>
      <c r="D20" s="24"/>
      <c r="E20" s="24"/>
      <c r="F20" s="24"/>
      <c r="G20" s="24"/>
      <c r="H20" s="24"/>
    </row>
    <row r="21" spans="1:18" ht="20.100000000000001" customHeight="1" x14ac:dyDescent="0.25">
      <c r="A21" s="94" t="s">
        <v>120</v>
      </c>
      <c r="B21" s="94"/>
      <c r="C21" s="94"/>
      <c r="D21" s="94"/>
      <c r="E21" s="94"/>
      <c r="F21" s="94"/>
      <c r="G21" s="94"/>
      <c r="H21" s="94"/>
      <c r="I21" s="94"/>
      <c r="J21" s="94"/>
      <c r="K21" s="94"/>
      <c r="L21" s="94"/>
      <c r="M21" s="94"/>
      <c r="N21" s="94"/>
      <c r="O21" s="94"/>
      <c r="P21" s="94"/>
      <c r="Q21" s="94"/>
      <c r="R21" s="94"/>
    </row>
    <row r="22" spans="1:18" ht="20.100000000000001" customHeight="1" x14ac:dyDescent="0.25">
      <c r="A22" s="24"/>
      <c r="B22" s="24"/>
      <c r="C22" s="24"/>
      <c r="D22" s="24"/>
      <c r="E22" s="24"/>
      <c r="F22" s="24"/>
      <c r="G22" s="24"/>
      <c r="H22" s="24"/>
    </row>
    <row r="23" spans="1:18" ht="20.100000000000001" customHeight="1" x14ac:dyDescent="0.25">
      <c r="A23" s="123" t="s">
        <v>219</v>
      </c>
      <c r="B23" s="123"/>
      <c r="C23" s="123"/>
      <c r="D23" s="123"/>
      <c r="E23" s="123"/>
      <c r="F23" s="123"/>
      <c r="G23" s="123"/>
      <c r="H23" s="123"/>
      <c r="I23" s="123"/>
      <c r="J23" s="123"/>
      <c r="K23" s="123"/>
      <c r="L23" s="123"/>
      <c r="M23" s="123"/>
      <c r="N23" s="123"/>
      <c r="O23" s="123"/>
      <c r="P23" s="123"/>
      <c r="Q23" s="123"/>
      <c r="R23" s="123"/>
    </row>
    <row r="24" spans="1:18" ht="20.100000000000001" customHeight="1" x14ac:dyDescent="0.25">
      <c r="A24" s="123"/>
      <c r="B24" s="123"/>
      <c r="C24" s="123"/>
      <c r="D24" s="123"/>
      <c r="E24" s="123"/>
      <c r="F24" s="123"/>
      <c r="G24" s="123"/>
      <c r="H24" s="123"/>
      <c r="I24" s="123"/>
      <c r="J24" s="123"/>
      <c r="K24" s="123"/>
      <c r="L24" s="123"/>
      <c r="M24" s="123"/>
      <c r="N24" s="123"/>
      <c r="O24" s="123"/>
      <c r="P24" s="123"/>
      <c r="Q24" s="123"/>
      <c r="R24" s="123"/>
    </row>
    <row r="25" spans="1:18" ht="20.100000000000001" customHeight="1" x14ac:dyDescent="0.25">
      <c r="A25" s="123"/>
      <c r="B25" s="123"/>
      <c r="C25" s="123"/>
      <c r="D25" s="123"/>
      <c r="E25" s="123"/>
      <c r="F25" s="123"/>
      <c r="G25" s="123"/>
      <c r="H25" s="123"/>
      <c r="I25" s="123"/>
      <c r="J25" s="123"/>
      <c r="K25" s="123"/>
      <c r="L25" s="123"/>
      <c r="M25" s="123"/>
      <c r="N25" s="123"/>
      <c r="O25" s="123"/>
      <c r="P25" s="123"/>
      <c r="Q25" s="123"/>
      <c r="R25" s="123"/>
    </row>
    <row r="26" spans="1:18" ht="20.100000000000001" customHeight="1" x14ac:dyDescent="0.25">
      <c r="A26" s="123"/>
      <c r="B26" s="123"/>
      <c r="C26" s="123"/>
      <c r="D26" s="123"/>
      <c r="E26" s="123"/>
      <c r="F26" s="123"/>
      <c r="G26" s="123"/>
      <c r="H26" s="123"/>
      <c r="I26" s="123"/>
      <c r="J26" s="123"/>
      <c r="K26" s="123"/>
      <c r="L26" s="123"/>
      <c r="M26" s="123"/>
      <c r="N26" s="123"/>
      <c r="O26" s="123"/>
      <c r="P26" s="123"/>
      <c r="Q26" s="123"/>
      <c r="R26" s="123"/>
    </row>
    <row r="27" spans="1:18" ht="20.100000000000001" customHeight="1" x14ac:dyDescent="0.25">
      <c r="A27" s="24"/>
      <c r="B27" s="24"/>
      <c r="C27" s="24"/>
      <c r="D27" s="24"/>
      <c r="E27" s="24"/>
      <c r="F27" s="24"/>
      <c r="G27" s="24"/>
      <c r="H27" s="24"/>
    </row>
    <row r="28" spans="1:18" ht="20.100000000000001" customHeight="1" x14ac:dyDescent="0.25">
      <c r="A28" s="26"/>
      <c r="B28" s="26"/>
      <c r="C28" s="26"/>
      <c r="D28" s="26"/>
      <c r="E28" s="26"/>
      <c r="F28" s="26"/>
      <c r="G28" s="26"/>
      <c r="H28" s="26"/>
    </row>
    <row r="29" spans="1:18" ht="20.100000000000001" customHeight="1" x14ac:dyDescent="0.25">
      <c r="A29" s="94" t="s">
        <v>114</v>
      </c>
      <c r="B29" s="94"/>
      <c r="C29" s="94"/>
      <c r="D29" s="94"/>
      <c r="E29" s="94"/>
      <c r="F29" s="94"/>
      <c r="G29" s="94"/>
      <c r="H29" s="94"/>
      <c r="I29" s="94"/>
      <c r="J29" s="94"/>
      <c r="K29" s="94"/>
      <c r="L29" s="94"/>
      <c r="M29" s="94"/>
      <c r="N29" s="94"/>
      <c r="O29" s="94"/>
      <c r="P29" s="94"/>
      <c r="Q29" s="94"/>
      <c r="R29" s="94"/>
    </row>
    <row r="30" spans="1:18" ht="20.100000000000001" customHeight="1" x14ac:dyDescent="0.25">
      <c r="A30" s="24"/>
      <c r="B30" s="24"/>
      <c r="C30" s="24"/>
      <c r="D30" s="24"/>
      <c r="E30" s="24"/>
      <c r="F30" s="24"/>
      <c r="G30" s="24"/>
      <c r="H30" s="24"/>
    </row>
    <row r="31" spans="1:18" ht="20.100000000000001" customHeight="1" x14ac:dyDescent="0.25">
      <c r="A31" s="123" t="s">
        <v>118</v>
      </c>
      <c r="B31" s="123"/>
      <c r="C31" s="123"/>
      <c r="D31" s="123"/>
      <c r="E31" s="123"/>
      <c r="F31" s="123"/>
      <c r="G31" s="123"/>
      <c r="H31" s="123"/>
      <c r="I31" s="123"/>
      <c r="J31" s="123"/>
      <c r="K31" s="123"/>
      <c r="L31" s="123"/>
      <c r="M31" s="123"/>
      <c r="N31" s="123"/>
      <c r="O31" s="123"/>
      <c r="P31" s="123"/>
      <c r="Q31" s="123"/>
      <c r="R31" s="123"/>
    </row>
    <row r="32" spans="1:18" ht="20.100000000000001" customHeight="1" x14ac:dyDescent="0.25">
      <c r="A32" s="24"/>
      <c r="B32" s="24"/>
      <c r="C32" s="24"/>
      <c r="D32" s="24"/>
      <c r="E32" s="24"/>
      <c r="F32" s="24"/>
      <c r="G32" s="24"/>
      <c r="H32" s="24"/>
    </row>
    <row r="33" spans="1:18" ht="20.100000000000001" customHeight="1" x14ac:dyDescent="0.25">
      <c r="A33" s="24"/>
      <c r="B33" s="123" t="s">
        <v>117</v>
      </c>
      <c r="C33" s="123"/>
      <c r="D33" s="123"/>
      <c r="E33" s="123"/>
      <c r="F33" s="123"/>
      <c r="G33" s="123"/>
      <c r="H33" s="123"/>
      <c r="I33" s="123"/>
      <c r="J33" s="123"/>
      <c r="K33" s="123"/>
      <c r="L33" s="123"/>
      <c r="M33" s="123"/>
      <c r="N33" s="123"/>
      <c r="O33" s="123"/>
      <c r="P33" s="123"/>
      <c r="Q33" s="123"/>
      <c r="R33" s="123"/>
    </row>
    <row r="34" spans="1:18" ht="20.100000000000001" customHeight="1" x14ac:dyDescent="0.25">
      <c r="A34" s="24"/>
      <c r="B34" s="123"/>
      <c r="C34" s="123"/>
      <c r="D34" s="123"/>
      <c r="E34" s="123"/>
      <c r="F34" s="123"/>
      <c r="G34" s="123"/>
      <c r="H34" s="123"/>
      <c r="I34" s="123"/>
      <c r="J34" s="123"/>
      <c r="K34" s="123"/>
      <c r="L34" s="123"/>
      <c r="M34" s="123"/>
      <c r="N34" s="123"/>
      <c r="O34" s="123"/>
      <c r="P34" s="123"/>
      <c r="Q34" s="123"/>
      <c r="R34" s="123"/>
    </row>
    <row r="35" spans="1:18" ht="20.100000000000001" customHeight="1" x14ac:dyDescent="0.25">
      <c r="A35" s="24"/>
      <c r="B35" s="123"/>
      <c r="C35" s="123"/>
      <c r="D35" s="123"/>
      <c r="E35" s="123"/>
      <c r="F35" s="123"/>
      <c r="G35" s="123"/>
      <c r="H35" s="123"/>
      <c r="I35" s="123"/>
      <c r="J35" s="123"/>
      <c r="K35" s="123"/>
      <c r="L35" s="123"/>
      <c r="M35" s="123"/>
      <c r="N35" s="123"/>
      <c r="O35" s="123"/>
      <c r="P35" s="123"/>
      <c r="Q35" s="123"/>
      <c r="R35" s="123"/>
    </row>
    <row r="36" spans="1:18" ht="20.100000000000001" customHeight="1" x14ac:dyDescent="0.25">
      <c r="A36" s="24"/>
      <c r="B36" s="123"/>
      <c r="C36" s="123"/>
      <c r="D36" s="123"/>
      <c r="E36" s="123"/>
      <c r="F36" s="123"/>
      <c r="G36" s="123"/>
      <c r="H36" s="123"/>
      <c r="I36" s="123"/>
      <c r="J36" s="123"/>
      <c r="K36" s="123"/>
      <c r="L36" s="123"/>
      <c r="M36" s="123"/>
      <c r="N36" s="123"/>
      <c r="O36" s="123"/>
      <c r="P36" s="123"/>
      <c r="Q36" s="123"/>
      <c r="R36" s="123"/>
    </row>
    <row r="37" spans="1:18" ht="20.100000000000001" customHeight="1" x14ac:dyDescent="0.25">
      <c r="A37" s="24"/>
      <c r="B37" s="123"/>
      <c r="C37" s="123"/>
      <c r="D37" s="123"/>
      <c r="E37" s="123"/>
      <c r="F37" s="123"/>
      <c r="G37" s="123"/>
      <c r="H37" s="123"/>
      <c r="I37" s="123"/>
      <c r="J37" s="123"/>
      <c r="K37" s="123"/>
      <c r="L37" s="123"/>
      <c r="M37" s="123"/>
      <c r="N37" s="123"/>
      <c r="O37" s="123"/>
      <c r="P37" s="123"/>
      <c r="Q37" s="123"/>
      <c r="R37" s="123"/>
    </row>
    <row r="38" spans="1:18" ht="20.100000000000001" customHeight="1" x14ac:dyDescent="0.25">
      <c r="A38" s="24"/>
      <c r="B38" s="123"/>
      <c r="C38" s="123"/>
      <c r="D38" s="123"/>
      <c r="E38" s="123"/>
      <c r="F38" s="123"/>
      <c r="G38" s="123"/>
      <c r="H38" s="123"/>
      <c r="I38" s="123"/>
      <c r="J38" s="123"/>
      <c r="K38" s="123"/>
      <c r="L38" s="123"/>
      <c r="M38" s="123"/>
      <c r="N38" s="123"/>
      <c r="O38" s="123"/>
      <c r="P38" s="123"/>
      <c r="Q38" s="123"/>
      <c r="R38" s="123"/>
    </row>
    <row r="39" spans="1:18" ht="20.100000000000001" customHeight="1" x14ac:dyDescent="0.25">
      <c r="A39" s="24"/>
      <c r="B39" s="123"/>
      <c r="C39" s="123"/>
      <c r="D39" s="123"/>
      <c r="E39" s="123"/>
      <c r="F39" s="123"/>
      <c r="G39" s="123"/>
      <c r="H39" s="123"/>
      <c r="I39" s="123"/>
      <c r="J39" s="123"/>
      <c r="K39" s="123"/>
      <c r="L39" s="123"/>
      <c r="M39" s="123"/>
      <c r="N39" s="123"/>
      <c r="O39" s="123"/>
      <c r="P39" s="123"/>
      <c r="Q39" s="123"/>
      <c r="R39" s="123"/>
    </row>
    <row r="40" spans="1:18" ht="20.100000000000001" customHeight="1" x14ac:dyDescent="0.25">
      <c r="A40" s="24"/>
      <c r="B40" s="123"/>
      <c r="C40" s="123"/>
      <c r="D40" s="123"/>
      <c r="E40" s="123"/>
      <c r="F40" s="123"/>
      <c r="G40" s="123"/>
      <c r="H40" s="123"/>
      <c r="I40" s="123"/>
      <c r="J40" s="123"/>
      <c r="K40" s="123"/>
      <c r="L40" s="123"/>
      <c r="M40" s="123"/>
      <c r="N40" s="123"/>
      <c r="O40" s="123"/>
      <c r="P40" s="123"/>
      <c r="Q40" s="123"/>
      <c r="R40" s="123"/>
    </row>
    <row r="41" spans="1:18" ht="20.100000000000001" customHeight="1" x14ac:dyDescent="0.25">
      <c r="A41" s="24"/>
      <c r="B41" s="24"/>
      <c r="C41" s="24"/>
      <c r="D41" s="24"/>
      <c r="E41" s="24"/>
      <c r="F41" s="24"/>
      <c r="G41" s="24"/>
      <c r="H41" s="24"/>
    </row>
    <row r="42" spans="1:18" ht="20.100000000000001" customHeight="1" x14ac:dyDescent="0.25">
      <c r="A42" s="123" t="s">
        <v>220</v>
      </c>
      <c r="B42" s="123"/>
      <c r="C42" s="123"/>
      <c r="D42" s="123"/>
      <c r="E42" s="123"/>
      <c r="F42" s="123"/>
      <c r="G42" s="123"/>
      <c r="H42" s="123"/>
      <c r="I42" s="123"/>
      <c r="J42" s="123"/>
      <c r="K42" s="123"/>
      <c r="L42" s="123"/>
      <c r="M42" s="123"/>
      <c r="N42" s="123"/>
      <c r="O42" s="123"/>
      <c r="P42" s="123"/>
      <c r="Q42" s="123"/>
      <c r="R42" s="123"/>
    </row>
    <row r="43" spans="1:18" ht="20.100000000000001" customHeight="1" x14ac:dyDescent="0.25">
      <c r="A43" s="123"/>
      <c r="B43" s="123"/>
      <c r="C43" s="123"/>
      <c r="D43" s="123"/>
      <c r="E43" s="123"/>
      <c r="F43" s="123"/>
      <c r="G43" s="123"/>
      <c r="H43" s="123"/>
      <c r="I43" s="123"/>
      <c r="J43" s="123"/>
      <c r="K43" s="123"/>
      <c r="L43" s="123"/>
      <c r="M43" s="123"/>
      <c r="N43" s="123"/>
      <c r="O43" s="123"/>
      <c r="P43" s="123"/>
      <c r="Q43" s="123"/>
      <c r="R43" s="123"/>
    </row>
    <row r="44" spans="1:18" ht="20.100000000000001" customHeight="1" x14ac:dyDescent="0.25">
      <c r="A44" s="123"/>
      <c r="B44" s="123"/>
      <c r="C44" s="123"/>
      <c r="D44" s="123"/>
      <c r="E44" s="123"/>
      <c r="F44" s="123"/>
      <c r="G44" s="123"/>
      <c r="H44" s="123"/>
      <c r="I44" s="123"/>
      <c r="J44" s="123"/>
      <c r="K44" s="123"/>
      <c r="L44" s="123"/>
      <c r="M44" s="123"/>
      <c r="N44" s="123"/>
      <c r="O44" s="123"/>
      <c r="P44" s="123"/>
      <c r="Q44" s="123"/>
      <c r="R44" s="123"/>
    </row>
    <row r="45" spans="1:18" ht="20.100000000000001" customHeight="1" x14ac:dyDescent="0.25">
      <c r="A45" s="123"/>
      <c r="B45" s="123"/>
      <c r="C45" s="123"/>
      <c r="D45" s="123"/>
      <c r="E45" s="123"/>
      <c r="F45" s="123"/>
      <c r="G45" s="123"/>
      <c r="H45" s="123"/>
      <c r="I45" s="123"/>
      <c r="J45" s="123"/>
      <c r="K45" s="123"/>
      <c r="L45" s="123"/>
      <c r="M45" s="123"/>
      <c r="N45" s="123"/>
      <c r="O45" s="123"/>
      <c r="P45" s="123"/>
      <c r="Q45" s="123"/>
      <c r="R45" s="123"/>
    </row>
    <row r="46" spans="1:18" ht="20.100000000000001" customHeight="1" x14ac:dyDescent="0.25">
      <c r="A46" s="21"/>
      <c r="B46" s="21"/>
      <c r="C46" s="21"/>
      <c r="D46" s="21"/>
      <c r="E46" s="21"/>
      <c r="F46" s="21"/>
      <c r="G46" s="21"/>
      <c r="H46" s="21"/>
    </row>
    <row r="47" spans="1:18" ht="20.100000000000001" customHeight="1" x14ac:dyDescent="0.25">
      <c r="A47" s="21"/>
      <c r="B47" s="21"/>
      <c r="C47" s="21"/>
      <c r="D47" s="21"/>
      <c r="E47" s="21"/>
      <c r="F47" s="21"/>
      <c r="G47" s="21"/>
      <c r="H47" s="21"/>
    </row>
    <row r="48" spans="1:18" ht="20.100000000000001" customHeight="1" x14ac:dyDescent="0.25">
      <c r="A48" s="94" t="s">
        <v>31</v>
      </c>
      <c r="B48" s="94"/>
      <c r="C48" s="94"/>
      <c r="D48" s="94"/>
      <c r="E48" s="94"/>
      <c r="F48" s="94"/>
      <c r="G48" s="94"/>
      <c r="H48" s="94"/>
      <c r="I48" s="94"/>
      <c r="J48" s="94"/>
      <c r="K48" s="94"/>
      <c r="L48" s="94"/>
      <c r="M48" s="94"/>
      <c r="N48" s="94"/>
      <c r="O48" s="94"/>
      <c r="P48" s="94"/>
      <c r="Q48" s="94"/>
      <c r="R48" s="94"/>
    </row>
    <row r="49" spans="1:18" ht="20.100000000000001" customHeight="1" x14ac:dyDescent="0.25">
      <c r="A49" s="21"/>
      <c r="B49" s="21"/>
      <c r="C49" s="21"/>
      <c r="D49" s="21"/>
      <c r="E49" s="21"/>
      <c r="F49" s="21"/>
      <c r="G49" s="21"/>
      <c r="H49" s="21"/>
    </row>
    <row r="50" spans="1:18" ht="20.100000000000001" customHeight="1" x14ac:dyDescent="0.25">
      <c r="A50" s="123" t="s">
        <v>221</v>
      </c>
      <c r="B50" s="123"/>
      <c r="C50" s="123"/>
      <c r="D50" s="123"/>
      <c r="E50" s="123"/>
      <c r="F50" s="123"/>
      <c r="G50" s="123"/>
      <c r="H50" s="123"/>
      <c r="I50" s="123"/>
      <c r="J50" s="123"/>
      <c r="K50" s="123"/>
      <c r="L50" s="123"/>
      <c r="M50" s="123"/>
      <c r="N50" s="123"/>
      <c r="O50" s="123"/>
      <c r="P50" s="123"/>
      <c r="Q50" s="123"/>
      <c r="R50" s="123"/>
    </row>
    <row r="51" spans="1:18" ht="20.100000000000001" customHeight="1" x14ac:dyDescent="0.25">
      <c r="A51" s="123"/>
      <c r="B51" s="123"/>
      <c r="C51" s="123"/>
      <c r="D51" s="123"/>
      <c r="E51" s="123"/>
      <c r="F51" s="123"/>
      <c r="G51" s="123"/>
      <c r="H51" s="123"/>
      <c r="I51" s="123"/>
      <c r="J51" s="123"/>
      <c r="K51" s="123"/>
      <c r="L51" s="123"/>
      <c r="M51" s="123"/>
      <c r="N51" s="123"/>
      <c r="O51" s="123"/>
      <c r="P51" s="123"/>
      <c r="Q51" s="123"/>
      <c r="R51" s="123"/>
    </row>
    <row r="52" spans="1:18" ht="20.100000000000001" customHeight="1" x14ac:dyDescent="0.25">
      <c r="A52" s="123"/>
      <c r="B52" s="123"/>
      <c r="C52" s="123"/>
      <c r="D52" s="123"/>
      <c r="E52" s="123"/>
      <c r="F52" s="123"/>
      <c r="G52" s="123"/>
      <c r="H52" s="123"/>
      <c r="I52" s="123"/>
      <c r="J52" s="123"/>
      <c r="K52" s="123"/>
      <c r="L52" s="123"/>
      <c r="M52" s="123"/>
      <c r="N52" s="123"/>
      <c r="O52" s="123"/>
      <c r="P52" s="123"/>
      <c r="Q52" s="123"/>
      <c r="R52" s="123"/>
    </row>
    <row r="53" spans="1:18" ht="20.100000000000001" customHeight="1" x14ac:dyDescent="0.25">
      <c r="A53" s="123"/>
      <c r="B53" s="123"/>
      <c r="C53" s="123"/>
      <c r="D53" s="123"/>
      <c r="E53" s="123"/>
      <c r="F53" s="123"/>
      <c r="G53" s="123"/>
      <c r="H53" s="123"/>
      <c r="I53" s="123"/>
      <c r="J53" s="123"/>
      <c r="K53" s="123"/>
      <c r="L53" s="123"/>
      <c r="M53" s="123"/>
      <c r="N53" s="123"/>
      <c r="O53" s="123"/>
      <c r="P53" s="123"/>
      <c r="Q53" s="123"/>
      <c r="R53" s="123"/>
    </row>
    <row r="56" spans="1:18" ht="20.100000000000001" customHeight="1" x14ac:dyDescent="0.25">
      <c r="A56" s="94" t="s">
        <v>31</v>
      </c>
      <c r="B56" s="94"/>
      <c r="C56" s="94"/>
      <c r="D56" s="94"/>
      <c r="E56" s="94"/>
      <c r="F56" s="94"/>
      <c r="G56" s="94"/>
      <c r="H56" s="94"/>
      <c r="I56" s="94"/>
      <c r="J56" s="94"/>
      <c r="K56" s="94"/>
      <c r="L56" s="94"/>
      <c r="M56" s="94"/>
      <c r="N56" s="94"/>
      <c r="O56" s="94"/>
      <c r="P56" s="94"/>
      <c r="Q56" s="94"/>
      <c r="R56" s="94"/>
    </row>
    <row r="58" spans="1:18" ht="20.100000000000001" customHeight="1" x14ac:dyDescent="0.25">
      <c r="A58" s="94" t="s">
        <v>121</v>
      </c>
      <c r="B58" s="94"/>
      <c r="C58" s="94"/>
      <c r="D58" s="94"/>
      <c r="E58" s="94"/>
      <c r="F58" s="94"/>
      <c r="G58" s="94"/>
      <c r="H58" s="94"/>
      <c r="I58" s="94"/>
      <c r="J58" s="94"/>
      <c r="K58" s="94"/>
      <c r="L58" s="94"/>
      <c r="M58" s="94"/>
      <c r="N58" s="94"/>
      <c r="O58" s="94"/>
      <c r="P58" s="94"/>
      <c r="Q58" s="94"/>
      <c r="R58" s="94"/>
    </row>
    <row r="60" spans="1:18" ht="20.100000000000001" customHeight="1" x14ac:dyDescent="0.25">
      <c r="A60" s="128" t="s">
        <v>122</v>
      </c>
      <c r="B60" s="128"/>
      <c r="C60" s="128"/>
      <c r="D60" s="128"/>
      <c r="E60" s="128"/>
      <c r="F60" s="128"/>
      <c r="G60" s="128"/>
      <c r="H60" s="128"/>
      <c r="I60" s="128"/>
      <c r="J60" s="128"/>
      <c r="K60" s="128"/>
      <c r="L60" s="128"/>
      <c r="M60" s="128"/>
      <c r="N60" s="128"/>
      <c r="O60" s="128"/>
      <c r="P60" s="128"/>
      <c r="Q60" s="128"/>
      <c r="R60" s="128"/>
    </row>
    <row r="61" spans="1:18" ht="20.100000000000001" customHeight="1" x14ac:dyDescent="0.25">
      <c r="A61" s="129" t="s">
        <v>1</v>
      </c>
      <c r="B61" s="129"/>
      <c r="C61" s="129" t="s">
        <v>29</v>
      </c>
      <c r="D61" s="129"/>
      <c r="E61" s="129"/>
      <c r="F61" s="129"/>
      <c r="G61" s="129"/>
      <c r="H61" s="129"/>
      <c r="I61" s="129"/>
      <c r="J61" s="129" t="s">
        <v>123</v>
      </c>
      <c r="K61" s="129"/>
      <c r="L61" s="129"/>
      <c r="M61" s="129"/>
      <c r="N61" s="129"/>
      <c r="O61" s="129"/>
      <c r="P61" s="129"/>
      <c r="Q61" s="129"/>
      <c r="R61" s="129"/>
    </row>
    <row r="62" spans="1:18" ht="20.100000000000001" customHeight="1" x14ac:dyDescent="0.25">
      <c r="A62" s="124">
        <v>2</v>
      </c>
      <c r="B62" s="124"/>
      <c r="C62" s="124" t="s">
        <v>124</v>
      </c>
      <c r="D62" s="124"/>
      <c r="E62" s="124"/>
      <c r="F62" s="124"/>
      <c r="G62" s="124"/>
      <c r="H62" s="124"/>
      <c r="I62" s="124"/>
      <c r="J62" s="124" t="s">
        <v>125</v>
      </c>
      <c r="K62" s="124"/>
      <c r="L62" s="124"/>
      <c r="M62" s="124" t="s">
        <v>126</v>
      </c>
      <c r="N62" s="124"/>
      <c r="O62" s="124"/>
      <c r="P62" s="125" t="s">
        <v>28</v>
      </c>
      <c r="Q62" s="125"/>
      <c r="R62" s="125"/>
    </row>
    <row r="63" spans="1:18" ht="20.100000000000001" customHeight="1" x14ac:dyDescent="0.25">
      <c r="A63" s="124"/>
      <c r="B63" s="124"/>
      <c r="C63" s="124"/>
      <c r="D63" s="124"/>
      <c r="E63" s="124"/>
      <c r="F63" s="124"/>
      <c r="G63" s="124"/>
      <c r="H63" s="124"/>
      <c r="I63" s="124"/>
      <c r="J63" s="126">
        <v>12</v>
      </c>
      <c r="K63" s="126"/>
      <c r="L63" s="126"/>
      <c r="M63" s="126">
        <v>5</v>
      </c>
      <c r="N63" s="126"/>
      <c r="O63" s="126"/>
      <c r="P63" s="127">
        <v>3</v>
      </c>
      <c r="Q63" s="127"/>
      <c r="R63" s="127"/>
    </row>
    <row r="66" spans="1:21" ht="20.100000000000001" customHeight="1" x14ac:dyDescent="0.25">
      <c r="A66" s="94" t="s">
        <v>127</v>
      </c>
      <c r="B66" s="94"/>
      <c r="C66" s="94"/>
      <c r="D66" s="94"/>
      <c r="E66" s="94"/>
      <c r="F66" s="94"/>
      <c r="G66" s="94"/>
      <c r="H66" s="94"/>
      <c r="I66" s="94"/>
      <c r="J66" s="94"/>
      <c r="K66" s="94"/>
      <c r="L66" s="94"/>
      <c r="M66" s="94"/>
      <c r="N66" s="94"/>
      <c r="O66" s="94"/>
      <c r="P66" s="94"/>
      <c r="Q66" s="94"/>
      <c r="R66" s="94"/>
    </row>
    <row r="68" spans="1:21" ht="39.950000000000003" customHeight="1" thickBot="1" x14ac:dyDescent="0.3">
      <c r="A68" s="35" t="s">
        <v>1</v>
      </c>
      <c r="B68" s="101" t="s">
        <v>128</v>
      </c>
      <c r="C68" s="101"/>
      <c r="D68" s="101"/>
      <c r="E68" s="101" t="s">
        <v>129</v>
      </c>
      <c r="F68" s="101"/>
      <c r="G68" s="101"/>
      <c r="H68" s="101" t="s">
        <v>130</v>
      </c>
      <c r="I68" s="101"/>
      <c r="J68" s="101"/>
      <c r="K68" s="101" t="s">
        <v>131</v>
      </c>
      <c r="L68" s="101"/>
      <c r="M68" s="101"/>
      <c r="N68" s="101" t="s">
        <v>103</v>
      </c>
      <c r="O68" s="101"/>
      <c r="P68" s="101" t="s">
        <v>132</v>
      </c>
      <c r="Q68" s="101"/>
      <c r="R68" s="101"/>
      <c r="T68" s="121" t="s">
        <v>133</v>
      </c>
      <c r="U68" s="121"/>
    </row>
    <row r="69" spans="1:21" ht="20.100000000000001" customHeight="1" x14ac:dyDescent="0.25">
      <c r="A69" s="36">
        <v>1</v>
      </c>
      <c r="B69" s="81">
        <v>200000</v>
      </c>
      <c r="C69" s="81"/>
      <c r="D69" s="81"/>
      <c r="E69" s="81">
        <v>360</v>
      </c>
      <c r="F69" s="81"/>
      <c r="G69" s="81"/>
      <c r="H69" s="81">
        <f>B69/E69</f>
        <v>555.55555555555554</v>
      </c>
      <c r="I69" s="81"/>
      <c r="J69" s="81"/>
      <c r="K69" s="81" t="s">
        <v>134</v>
      </c>
      <c r="L69" s="81"/>
      <c r="M69" s="81"/>
      <c r="N69" s="122">
        <f>VLOOKUP(K69,$T$70:$U$71,2,0)</f>
        <v>0.9</v>
      </c>
      <c r="O69" s="122"/>
      <c r="P69" s="86">
        <f>H69*N69</f>
        <v>500</v>
      </c>
      <c r="Q69" s="86"/>
      <c r="R69" s="86"/>
      <c r="T69" s="37" t="s">
        <v>135</v>
      </c>
      <c r="U69" s="38" t="s">
        <v>136</v>
      </c>
    </row>
    <row r="70" spans="1:21" ht="20.100000000000001" customHeight="1" x14ac:dyDescent="0.25">
      <c r="A70" s="39">
        <v>2</v>
      </c>
      <c r="B70" s="83">
        <v>180000</v>
      </c>
      <c r="C70" s="83"/>
      <c r="D70" s="83"/>
      <c r="E70" s="83">
        <v>280</v>
      </c>
      <c r="F70" s="83"/>
      <c r="G70" s="83"/>
      <c r="H70" s="83">
        <f>B70/E70</f>
        <v>642.85714285714289</v>
      </c>
      <c r="I70" s="83"/>
      <c r="J70" s="83"/>
      <c r="K70" s="83" t="s">
        <v>134</v>
      </c>
      <c r="L70" s="83"/>
      <c r="M70" s="83"/>
      <c r="N70" s="108">
        <f>VLOOKUP(K70,$T$70:$U$71,2,0)</f>
        <v>0.9</v>
      </c>
      <c r="O70" s="108"/>
      <c r="P70" s="83">
        <f>H70*N70</f>
        <v>578.57142857142867</v>
      </c>
      <c r="Q70" s="83"/>
      <c r="R70" s="83"/>
      <c r="T70" s="40" t="s">
        <v>134</v>
      </c>
      <c r="U70" s="58">
        <v>0.9</v>
      </c>
    </row>
    <row r="71" spans="1:21" ht="20.100000000000001" customHeight="1" x14ac:dyDescent="0.25">
      <c r="A71" s="39">
        <v>3</v>
      </c>
      <c r="B71" s="83">
        <v>190000</v>
      </c>
      <c r="C71" s="83"/>
      <c r="D71" s="83"/>
      <c r="E71" s="83">
        <v>300</v>
      </c>
      <c r="F71" s="83"/>
      <c r="G71" s="83"/>
      <c r="H71" s="83">
        <f>B71/E71</f>
        <v>633.33333333333337</v>
      </c>
      <c r="I71" s="83"/>
      <c r="J71" s="83"/>
      <c r="K71" s="83" t="s">
        <v>134</v>
      </c>
      <c r="L71" s="83"/>
      <c r="M71" s="83"/>
      <c r="N71" s="108">
        <f>VLOOKUP(K71,$T$70:$U$71,2,0)</f>
        <v>0.9</v>
      </c>
      <c r="O71" s="108"/>
      <c r="P71" s="83">
        <f>H71*N71</f>
        <v>570</v>
      </c>
      <c r="Q71" s="83"/>
      <c r="R71" s="83"/>
      <c r="T71" s="40" t="s">
        <v>101</v>
      </c>
      <c r="U71" s="58">
        <v>1</v>
      </c>
    </row>
    <row r="73" spans="1:21" ht="20.100000000000001" customHeight="1" x14ac:dyDescent="0.25">
      <c r="L73" s="86" t="s">
        <v>4</v>
      </c>
      <c r="M73" s="86"/>
      <c r="N73" s="86"/>
      <c r="O73" s="86"/>
      <c r="P73" s="86">
        <f>AVERAGE(P69:R71)</f>
        <v>549.52380952380952</v>
      </c>
      <c r="Q73" s="86"/>
      <c r="R73" s="86"/>
    </row>
    <row r="74" spans="1:21" ht="20.100000000000001" customHeight="1" x14ac:dyDescent="0.25">
      <c r="L74" s="81" t="s">
        <v>5</v>
      </c>
      <c r="M74" s="81"/>
      <c r="N74" s="81"/>
      <c r="O74" s="81"/>
      <c r="P74" s="86">
        <f>STDEVA(P69:R71)</f>
        <v>43.102472426204315</v>
      </c>
      <c r="Q74" s="86"/>
      <c r="R74" s="86"/>
    </row>
    <row r="75" spans="1:21" ht="20.100000000000001" customHeight="1" x14ac:dyDescent="0.25">
      <c r="L75" s="83" t="s">
        <v>3</v>
      </c>
      <c r="M75" s="83"/>
      <c r="N75" s="83"/>
      <c r="O75" s="83"/>
      <c r="P75" s="100">
        <f>P74/P73</f>
        <v>7.8436041676801613E-2</v>
      </c>
      <c r="Q75" s="100"/>
      <c r="R75" s="100"/>
    </row>
    <row r="78" spans="1:21" ht="20.100000000000001" customHeight="1" x14ac:dyDescent="0.25">
      <c r="A78" s="94" t="s">
        <v>137</v>
      </c>
      <c r="B78" s="94"/>
      <c r="C78" s="94"/>
      <c r="D78" s="94"/>
      <c r="E78" s="94"/>
      <c r="F78" s="94"/>
      <c r="G78" s="94"/>
      <c r="H78" s="94"/>
      <c r="I78" s="94"/>
      <c r="J78" s="94"/>
      <c r="K78" s="94"/>
      <c r="L78" s="94"/>
      <c r="M78" s="94"/>
      <c r="N78" s="94"/>
      <c r="O78" s="94"/>
      <c r="P78" s="94"/>
      <c r="Q78" s="94"/>
      <c r="R78" s="94"/>
    </row>
    <row r="80" spans="1:21" ht="80.099999999999994" customHeight="1" x14ac:dyDescent="0.25">
      <c r="A80" s="109" t="s">
        <v>138</v>
      </c>
      <c r="B80" s="109"/>
      <c r="C80" s="109"/>
      <c r="D80" s="109"/>
      <c r="E80" s="109"/>
      <c r="F80" s="109"/>
      <c r="G80" s="109"/>
      <c r="H80" s="109"/>
      <c r="I80" s="109"/>
      <c r="J80" s="109"/>
      <c r="K80" s="109"/>
      <c r="L80" s="109"/>
      <c r="M80" s="109"/>
      <c r="N80" s="109"/>
      <c r="O80" s="109"/>
      <c r="P80" s="109"/>
      <c r="Q80" s="109"/>
      <c r="R80" s="109"/>
    </row>
    <row r="82" spans="1:18" ht="20.100000000000001" customHeight="1" x14ac:dyDescent="0.25">
      <c r="A82" s="120" t="s">
        <v>139</v>
      </c>
      <c r="B82" s="120"/>
      <c r="C82" s="120"/>
      <c r="D82" s="120"/>
      <c r="E82" s="120"/>
      <c r="F82" s="120"/>
      <c r="G82" s="120"/>
      <c r="H82" s="120" t="s">
        <v>140</v>
      </c>
      <c r="I82" s="120"/>
      <c r="J82" s="101" t="s">
        <v>141</v>
      </c>
      <c r="K82" s="101"/>
      <c r="L82" s="101"/>
      <c r="M82" s="101"/>
      <c r="N82" s="101"/>
      <c r="O82" s="95" t="s">
        <v>142</v>
      </c>
      <c r="P82" s="95"/>
      <c r="Q82" s="95"/>
      <c r="R82" s="95"/>
    </row>
    <row r="83" spans="1:18" ht="20.100000000000001" customHeight="1" x14ac:dyDescent="0.25">
      <c r="A83" s="117" t="s">
        <v>143</v>
      </c>
      <c r="B83" s="117"/>
      <c r="C83" s="117"/>
      <c r="D83" s="117"/>
      <c r="E83" s="117"/>
      <c r="F83" s="117"/>
      <c r="G83" s="117"/>
      <c r="H83" s="119" t="s">
        <v>144</v>
      </c>
      <c r="I83" s="119"/>
      <c r="J83" s="83" t="s">
        <v>145</v>
      </c>
      <c r="K83" s="83"/>
      <c r="L83" s="83"/>
      <c r="M83" s="83"/>
      <c r="N83" s="83"/>
      <c r="O83" s="83">
        <v>1</v>
      </c>
      <c r="P83" s="83"/>
      <c r="Q83" s="83"/>
      <c r="R83" s="83"/>
    </row>
    <row r="84" spans="1:18" ht="20.100000000000001" customHeight="1" x14ac:dyDescent="0.25">
      <c r="A84" s="117" t="s">
        <v>146</v>
      </c>
      <c r="B84" s="117"/>
      <c r="C84" s="117"/>
      <c r="D84" s="117"/>
      <c r="E84" s="117"/>
      <c r="F84" s="117"/>
      <c r="G84" s="117"/>
      <c r="H84" s="118" t="s">
        <v>147</v>
      </c>
      <c r="I84" s="118"/>
      <c r="J84" s="83" t="s">
        <v>148</v>
      </c>
      <c r="K84" s="83"/>
      <c r="L84" s="83"/>
      <c r="M84" s="83"/>
      <c r="N84" s="83"/>
      <c r="O84" s="83">
        <v>1</v>
      </c>
      <c r="P84" s="83"/>
      <c r="Q84" s="83"/>
      <c r="R84" s="83"/>
    </row>
    <row r="85" spans="1:18" ht="20.100000000000001" customHeight="1" x14ac:dyDescent="0.25">
      <c r="A85" s="117" t="s">
        <v>149</v>
      </c>
      <c r="B85" s="117"/>
      <c r="C85" s="117"/>
      <c r="D85" s="117"/>
      <c r="E85" s="117"/>
      <c r="F85" s="117"/>
      <c r="G85" s="117"/>
      <c r="H85" s="118" t="s">
        <v>150</v>
      </c>
      <c r="I85" s="118"/>
      <c r="J85" s="83" t="s">
        <v>151</v>
      </c>
      <c r="K85" s="83"/>
      <c r="L85" s="83"/>
      <c r="M85" s="83"/>
      <c r="N85" s="83"/>
      <c r="O85" s="83">
        <v>1</v>
      </c>
      <c r="P85" s="83"/>
      <c r="Q85" s="83"/>
      <c r="R85" s="83"/>
    </row>
    <row r="86" spans="1:18" ht="20.100000000000001" customHeight="1" x14ac:dyDescent="0.25">
      <c r="A86" s="117" t="s">
        <v>152</v>
      </c>
      <c r="B86" s="117"/>
      <c r="C86" s="117"/>
      <c r="D86" s="117"/>
      <c r="E86" s="117"/>
      <c r="F86" s="117"/>
      <c r="G86" s="117"/>
      <c r="H86" s="118" t="s">
        <v>153</v>
      </c>
      <c r="I86" s="118"/>
      <c r="J86" s="83" t="s">
        <v>154</v>
      </c>
      <c r="K86" s="83"/>
      <c r="L86" s="83"/>
      <c r="M86" s="83"/>
      <c r="N86" s="83"/>
      <c r="O86" s="83">
        <v>1</v>
      </c>
      <c r="P86" s="83"/>
      <c r="Q86" s="83"/>
      <c r="R86" s="83"/>
    </row>
    <row r="87" spans="1:18" ht="20.100000000000001" customHeight="1" x14ac:dyDescent="0.25">
      <c r="A87" s="117" t="s">
        <v>155</v>
      </c>
      <c r="B87" s="117"/>
      <c r="C87" s="117"/>
      <c r="D87" s="117"/>
      <c r="E87" s="117"/>
      <c r="F87" s="117"/>
      <c r="G87" s="117"/>
      <c r="H87" s="118" t="s">
        <v>156</v>
      </c>
      <c r="I87" s="118"/>
      <c r="J87" s="83" t="s">
        <v>157</v>
      </c>
      <c r="K87" s="83"/>
      <c r="L87" s="83"/>
      <c r="M87" s="83"/>
      <c r="N87" s="83"/>
      <c r="O87" s="83">
        <v>1</v>
      </c>
      <c r="P87" s="83"/>
      <c r="Q87" s="83"/>
      <c r="R87" s="83"/>
    </row>
    <row r="90" spans="1:18" ht="20.100000000000001" customHeight="1" x14ac:dyDescent="0.25">
      <c r="A90" s="95" t="s">
        <v>158</v>
      </c>
      <c r="B90" s="95"/>
      <c r="C90" s="95"/>
      <c r="D90" s="95"/>
      <c r="E90" s="95" t="s">
        <v>159</v>
      </c>
      <c r="F90" s="95"/>
      <c r="G90" s="95"/>
      <c r="H90" s="95"/>
      <c r="I90" s="95"/>
      <c r="J90" s="95" t="s">
        <v>160</v>
      </c>
      <c r="K90" s="95"/>
    </row>
    <row r="91" spans="1:18" ht="20.100000000000001" customHeight="1" x14ac:dyDescent="0.25">
      <c r="A91" s="101"/>
      <c r="B91" s="101"/>
      <c r="C91" s="101"/>
      <c r="D91" s="101"/>
      <c r="E91" s="35" t="s">
        <v>161</v>
      </c>
      <c r="F91" s="35" t="s">
        <v>162</v>
      </c>
      <c r="G91" s="35" t="s">
        <v>163</v>
      </c>
      <c r="H91" s="35" t="s">
        <v>164</v>
      </c>
      <c r="I91" s="35" t="s">
        <v>165</v>
      </c>
      <c r="J91" s="101"/>
      <c r="K91" s="101"/>
    </row>
    <row r="92" spans="1:18" ht="20.100000000000001" customHeight="1" thickBot="1" x14ac:dyDescent="0.3">
      <c r="A92" s="42"/>
      <c r="B92" s="42"/>
      <c r="C92" s="42"/>
      <c r="D92" s="42"/>
      <c r="E92" s="43">
        <v>1</v>
      </c>
      <c r="F92" s="43">
        <v>0.9</v>
      </c>
      <c r="G92" s="43">
        <v>1</v>
      </c>
      <c r="H92" s="43">
        <v>1</v>
      </c>
      <c r="I92" s="43">
        <v>1</v>
      </c>
      <c r="J92" s="103">
        <f>SUM(E92:I92)-COUNT(E92:I92)+1</f>
        <v>0.90000000000000036</v>
      </c>
      <c r="K92" s="103"/>
    </row>
    <row r="94" spans="1:18" ht="39.950000000000003" customHeight="1" x14ac:dyDescent="0.25">
      <c r="A94" s="35" t="s">
        <v>1</v>
      </c>
      <c r="B94" s="101" t="str">
        <f>P68</f>
        <v>Valor unitário ajustado</v>
      </c>
      <c r="C94" s="101"/>
      <c r="D94" s="101"/>
      <c r="E94" s="35" t="s">
        <v>161</v>
      </c>
      <c r="F94" s="35" t="s">
        <v>162</v>
      </c>
      <c r="G94" s="35" t="s">
        <v>163</v>
      </c>
      <c r="H94" s="35" t="s">
        <v>164</v>
      </c>
      <c r="I94" s="35" t="s">
        <v>165</v>
      </c>
      <c r="J94" s="101" t="s">
        <v>160</v>
      </c>
      <c r="K94" s="101"/>
      <c r="L94" s="101" t="s">
        <v>166</v>
      </c>
      <c r="M94" s="101"/>
      <c r="N94" s="101" t="s">
        <v>139</v>
      </c>
      <c r="O94" s="101"/>
      <c r="P94" s="101" t="s">
        <v>2</v>
      </c>
      <c r="Q94" s="101"/>
      <c r="R94" s="101"/>
    </row>
    <row r="95" spans="1:18" ht="20.100000000000001" customHeight="1" x14ac:dyDescent="0.25">
      <c r="A95" s="34">
        <v>1</v>
      </c>
      <c r="B95" s="81">
        <f>P69</f>
        <v>500</v>
      </c>
      <c r="C95" s="81"/>
      <c r="D95" s="81"/>
      <c r="E95" s="34">
        <v>1</v>
      </c>
      <c r="F95" s="34">
        <v>1</v>
      </c>
      <c r="G95" s="34">
        <v>1</v>
      </c>
      <c r="H95" s="34">
        <v>1</v>
      </c>
      <c r="I95" s="34">
        <v>1</v>
      </c>
      <c r="J95" s="81">
        <f>SUM(E95:I95)-COUNT(E95:I95)+1</f>
        <v>1</v>
      </c>
      <c r="K95" s="81"/>
      <c r="L95" s="81">
        <f t="shared" ref="L95:L97" si="0">$J$92</f>
        <v>0.90000000000000036</v>
      </c>
      <c r="M95" s="81"/>
      <c r="N95" s="81">
        <f t="shared" ref="N95:N97" si="1">L95/J95</f>
        <v>0.90000000000000036</v>
      </c>
      <c r="O95" s="81"/>
      <c r="P95" s="81">
        <f t="shared" ref="P95:P97" si="2">B95*N95</f>
        <v>450.00000000000017</v>
      </c>
      <c r="Q95" s="81"/>
      <c r="R95" s="81"/>
    </row>
    <row r="96" spans="1:18" ht="20.100000000000001" customHeight="1" x14ac:dyDescent="0.25">
      <c r="A96" s="39">
        <v>2</v>
      </c>
      <c r="B96" s="83">
        <f>P70</f>
        <v>578.57142857142867</v>
      </c>
      <c r="C96" s="83"/>
      <c r="D96" s="83"/>
      <c r="E96" s="39">
        <v>0.8</v>
      </c>
      <c r="F96" s="39">
        <v>1</v>
      </c>
      <c r="G96" s="39">
        <v>1</v>
      </c>
      <c r="H96" s="39">
        <v>1</v>
      </c>
      <c r="I96" s="39">
        <v>1</v>
      </c>
      <c r="J96" s="83">
        <f t="shared" ref="J96:J97" si="3">SUM(E96:I96)-COUNT(E96:I96)+1</f>
        <v>0.79999999999999982</v>
      </c>
      <c r="K96" s="83"/>
      <c r="L96" s="83">
        <f t="shared" si="0"/>
        <v>0.90000000000000036</v>
      </c>
      <c r="M96" s="83"/>
      <c r="N96" s="83">
        <f t="shared" si="1"/>
        <v>1.1250000000000007</v>
      </c>
      <c r="O96" s="83"/>
      <c r="P96" s="83">
        <f t="shared" si="2"/>
        <v>650.89285714285768</v>
      </c>
      <c r="Q96" s="83"/>
      <c r="R96" s="83"/>
    </row>
    <row r="97" spans="1:18" ht="20.100000000000001" customHeight="1" thickBot="1" x14ac:dyDescent="0.3">
      <c r="A97" s="43">
        <v>3</v>
      </c>
      <c r="B97" s="103">
        <f>P71</f>
        <v>570</v>
      </c>
      <c r="C97" s="103"/>
      <c r="D97" s="103"/>
      <c r="E97" s="43">
        <v>1</v>
      </c>
      <c r="F97" s="43">
        <v>0.9</v>
      </c>
      <c r="G97" s="43">
        <v>1</v>
      </c>
      <c r="H97" s="43">
        <v>1</v>
      </c>
      <c r="I97" s="43">
        <v>1</v>
      </c>
      <c r="J97" s="103">
        <f t="shared" si="3"/>
        <v>0.90000000000000036</v>
      </c>
      <c r="K97" s="103"/>
      <c r="L97" s="103">
        <f t="shared" si="0"/>
        <v>0.90000000000000036</v>
      </c>
      <c r="M97" s="103"/>
      <c r="N97" s="103">
        <f t="shared" si="1"/>
        <v>1</v>
      </c>
      <c r="O97" s="103"/>
      <c r="P97" s="103">
        <f t="shared" si="2"/>
        <v>570</v>
      </c>
      <c r="Q97" s="103"/>
      <c r="R97" s="103"/>
    </row>
    <row r="99" spans="1:18" ht="20.100000000000001" customHeight="1" x14ac:dyDescent="0.25">
      <c r="E99" s="44"/>
      <c r="F99" s="44"/>
      <c r="G99" s="44"/>
      <c r="H99" s="44"/>
      <c r="I99" s="44"/>
      <c r="L99" s="86" t="s">
        <v>4</v>
      </c>
      <c r="M99" s="86"/>
      <c r="N99" s="86"/>
      <c r="O99" s="86"/>
      <c r="P99" s="86">
        <f>AVERAGE(P95:R97)</f>
        <v>556.96428571428589</v>
      </c>
      <c r="Q99" s="86"/>
      <c r="R99" s="86"/>
    </row>
    <row r="100" spans="1:18" ht="20.100000000000001" customHeight="1" x14ac:dyDescent="0.25">
      <c r="L100" s="81" t="s">
        <v>5</v>
      </c>
      <c r="M100" s="81"/>
      <c r="N100" s="81"/>
      <c r="O100" s="81"/>
      <c r="P100" s="86">
        <f>STDEVA(P95:R97)</f>
        <v>101.07884248426686</v>
      </c>
      <c r="Q100" s="86"/>
      <c r="R100" s="86"/>
    </row>
    <row r="101" spans="1:18" ht="20.100000000000001" customHeight="1" x14ac:dyDescent="0.25">
      <c r="H101" s="45"/>
      <c r="L101" s="83" t="s">
        <v>3</v>
      </c>
      <c r="M101" s="83"/>
      <c r="N101" s="83"/>
      <c r="O101" s="83"/>
      <c r="P101" s="100">
        <f>P100/P99</f>
        <v>0.18148173065466311</v>
      </c>
      <c r="Q101" s="100"/>
      <c r="R101" s="100"/>
    </row>
    <row r="102" spans="1:18" ht="20.100000000000001" customHeight="1" x14ac:dyDescent="0.25">
      <c r="I102" s="46"/>
    </row>
    <row r="103" spans="1:18" ht="20.100000000000001" customHeight="1" x14ac:dyDescent="0.25">
      <c r="I103" s="46"/>
    </row>
    <row r="104" spans="1:18" ht="20.100000000000001" customHeight="1" x14ac:dyDescent="0.25">
      <c r="A104" s="81" t="s">
        <v>167</v>
      </c>
      <c r="B104" s="81"/>
      <c r="C104" s="81"/>
      <c r="D104" s="81"/>
      <c r="E104" s="81"/>
      <c r="F104" s="81"/>
      <c r="G104" s="81"/>
      <c r="H104" s="81"/>
      <c r="I104" s="81"/>
      <c r="J104" s="81"/>
      <c r="K104" s="81"/>
      <c r="L104" s="81"/>
      <c r="M104" s="81"/>
      <c r="N104" s="81"/>
      <c r="O104" s="81"/>
      <c r="P104" s="81"/>
      <c r="Q104" s="81"/>
      <c r="R104" s="81"/>
    </row>
    <row r="105" spans="1:18" ht="20.100000000000001" customHeight="1" x14ac:dyDescent="0.25">
      <c r="I105" s="46"/>
    </row>
    <row r="106" spans="1:18" ht="20.100000000000001" customHeight="1" x14ac:dyDescent="0.25">
      <c r="I106" s="46"/>
    </row>
    <row r="107" spans="1:18" ht="20.100000000000001" customHeight="1" x14ac:dyDescent="0.25">
      <c r="I107" s="46"/>
    </row>
    <row r="108" spans="1:18" ht="20.100000000000001" customHeight="1" x14ac:dyDescent="0.25">
      <c r="I108" s="46"/>
    </row>
    <row r="109" spans="1:18" ht="20.100000000000001" customHeight="1" x14ac:dyDescent="0.25">
      <c r="I109" s="46"/>
    </row>
    <row r="110" spans="1:18" ht="20.100000000000001" customHeight="1" x14ac:dyDescent="0.25">
      <c r="I110" s="46"/>
    </row>
    <row r="111" spans="1:18" ht="20.100000000000001" customHeight="1" x14ac:dyDescent="0.25">
      <c r="I111" s="46"/>
    </row>
    <row r="112" spans="1:18" ht="20.100000000000001" customHeight="1" x14ac:dyDescent="0.25">
      <c r="I112" s="46"/>
    </row>
    <row r="113" spans="9:9" ht="20.100000000000001" customHeight="1" x14ac:dyDescent="0.25">
      <c r="I113" s="46"/>
    </row>
    <row r="114" spans="9:9" ht="20.100000000000001" customHeight="1" x14ac:dyDescent="0.25">
      <c r="I114" s="46"/>
    </row>
    <row r="115" spans="9:9" ht="20.100000000000001" customHeight="1" x14ac:dyDescent="0.25">
      <c r="I115" s="46"/>
    </row>
    <row r="116" spans="9:9" ht="20.100000000000001" customHeight="1" x14ac:dyDescent="0.25">
      <c r="I116" s="46"/>
    </row>
    <row r="117" spans="9:9" ht="20.100000000000001" customHeight="1" x14ac:dyDescent="0.25">
      <c r="I117" s="46"/>
    </row>
    <row r="118" spans="9:9" ht="20.100000000000001" customHeight="1" x14ac:dyDescent="0.25">
      <c r="I118" s="46"/>
    </row>
    <row r="119" spans="9:9" ht="20.100000000000001" customHeight="1" x14ac:dyDescent="0.25">
      <c r="I119" s="46"/>
    </row>
    <row r="120" spans="9:9" ht="20.100000000000001" customHeight="1" x14ac:dyDescent="0.25">
      <c r="I120" s="46"/>
    </row>
    <row r="121" spans="9:9" ht="20.100000000000001" customHeight="1" x14ac:dyDescent="0.25">
      <c r="I121" s="46"/>
    </row>
    <row r="122" spans="9:9" ht="20.100000000000001" customHeight="1" x14ac:dyDescent="0.25">
      <c r="I122" s="46"/>
    </row>
    <row r="123" spans="9:9" ht="20.100000000000001" customHeight="1" x14ac:dyDescent="0.25">
      <c r="I123" s="46"/>
    </row>
    <row r="124" spans="9:9" ht="20.100000000000001" customHeight="1" x14ac:dyDescent="0.25">
      <c r="I124" s="46"/>
    </row>
    <row r="125" spans="9:9" ht="20.100000000000001" customHeight="1" x14ac:dyDescent="0.25">
      <c r="I125" s="46"/>
    </row>
    <row r="126" spans="9:9" ht="20.100000000000001" customHeight="1" x14ac:dyDescent="0.25">
      <c r="I126" s="46"/>
    </row>
    <row r="127" spans="9:9" ht="20.100000000000001" customHeight="1" x14ac:dyDescent="0.25">
      <c r="I127" s="46"/>
    </row>
    <row r="128" spans="9:9" ht="20.100000000000001" customHeight="1" x14ac:dyDescent="0.25">
      <c r="I128" s="46"/>
    </row>
    <row r="129" spans="1:18" ht="20.100000000000001" customHeight="1" x14ac:dyDescent="0.25">
      <c r="I129" s="46"/>
    </row>
    <row r="130" spans="1:18" ht="20.100000000000001" customHeight="1" x14ac:dyDescent="0.25">
      <c r="I130" s="46"/>
    </row>
    <row r="131" spans="1:18" ht="20.100000000000001" customHeight="1" x14ac:dyDescent="0.25">
      <c r="I131" s="46"/>
    </row>
    <row r="132" spans="1:18" ht="20.100000000000001" customHeight="1" x14ac:dyDescent="0.25">
      <c r="I132" s="46"/>
    </row>
    <row r="133" spans="1:18" ht="20.100000000000001" customHeight="1" x14ac:dyDescent="0.25">
      <c r="I133" s="46"/>
    </row>
    <row r="134" spans="1:18" ht="20.100000000000001" customHeight="1" x14ac:dyDescent="0.25">
      <c r="I134" s="46"/>
    </row>
    <row r="135" spans="1:18" ht="20.100000000000001" customHeight="1" x14ac:dyDescent="0.25">
      <c r="I135" s="46"/>
    </row>
    <row r="136" spans="1:18" ht="20.100000000000001" customHeight="1" x14ac:dyDescent="0.25">
      <c r="I136" s="46"/>
    </row>
    <row r="137" spans="1:18" ht="20.100000000000001" customHeight="1" x14ac:dyDescent="0.25">
      <c r="I137" s="46"/>
    </row>
    <row r="138" spans="1:18" ht="20.100000000000001" customHeight="1" x14ac:dyDescent="0.25">
      <c r="I138" s="46"/>
    </row>
    <row r="139" spans="1:18" ht="20.100000000000001" customHeight="1" x14ac:dyDescent="0.25">
      <c r="A139" s="81" t="s">
        <v>168</v>
      </c>
      <c r="B139" s="81"/>
      <c r="C139" s="81"/>
      <c r="D139" s="81"/>
      <c r="E139" s="81"/>
      <c r="F139" s="81"/>
      <c r="G139" s="81"/>
      <c r="H139" s="81"/>
      <c r="I139" s="81"/>
      <c r="J139" s="81"/>
      <c r="K139" s="81"/>
      <c r="L139" s="81"/>
      <c r="M139" s="81"/>
      <c r="N139" s="81"/>
      <c r="O139" s="81"/>
      <c r="P139" s="81"/>
      <c r="Q139" s="81"/>
      <c r="R139" s="81"/>
    </row>
    <row r="140" spans="1:18" ht="20.100000000000001" customHeight="1" x14ac:dyDescent="0.25">
      <c r="I140" s="46"/>
    </row>
    <row r="141" spans="1:18" ht="20.100000000000001" customHeight="1" x14ac:dyDescent="0.25">
      <c r="I141" s="46"/>
    </row>
    <row r="142" spans="1:18" ht="20.100000000000001" customHeight="1" x14ac:dyDescent="0.25">
      <c r="I142" s="46"/>
    </row>
    <row r="143" spans="1:18" ht="20.100000000000001" customHeight="1" x14ac:dyDescent="0.25">
      <c r="I143" s="46"/>
    </row>
    <row r="144" spans="1:18" ht="20.100000000000001" customHeight="1" x14ac:dyDescent="0.25">
      <c r="I144" s="46"/>
    </row>
    <row r="145" spans="1:18" ht="20.100000000000001" customHeight="1" x14ac:dyDescent="0.25">
      <c r="I145" s="46"/>
    </row>
    <row r="146" spans="1:18" ht="20.100000000000001" customHeight="1" x14ac:dyDescent="0.25">
      <c r="I146" s="46"/>
    </row>
    <row r="147" spans="1:18" ht="20.100000000000001" customHeight="1" x14ac:dyDescent="0.25">
      <c r="I147" s="46"/>
    </row>
    <row r="148" spans="1:18" ht="20.100000000000001" customHeight="1" x14ac:dyDescent="0.25">
      <c r="I148" s="46"/>
    </row>
    <row r="149" spans="1:18" ht="20.100000000000001" customHeight="1" x14ac:dyDescent="0.25">
      <c r="I149" s="46"/>
    </row>
    <row r="150" spans="1:18" ht="20.100000000000001" customHeight="1" x14ac:dyDescent="0.25">
      <c r="I150" s="46"/>
    </row>
    <row r="151" spans="1:18" ht="20.100000000000001" customHeight="1" x14ac:dyDescent="0.25">
      <c r="I151" s="46"/>
    </row>
    <row r="152" spans="1:18" ht="20.100000000000001" customHeight="1" x14ac:dyDescent="0.25">
      <c r="I152" s="46"/>
    </row>
    <row r="153" spans="1:18" ht="20.100000000000001" customHeight="1" x14ac:dyDescent="0.25">
      <c r="I153" s="46"/>
    </row>
    <row r="154" spans="1:18" ht="20.100000000000001" customHeight="1" x14ac:dyDescent="0.25">
      <c r="I154" s="46"/>
    </row>
    <row r="155" spans="1:18" ht="20.100000000000001" customHeight="1" x14ac:dyDescent="0.25">
      <c r="I155" s="46"/>
    </row>
    <row r="156" spans="1:18" ht="20.100000000000001" customHeight="1" x14ac:dyDescent="0.25">
      <c r="I156" s="46"/>
    </row>
    <row r="157" spans="1:18" ht="20.100000000000001" customHeight="1" x14ac:dyDescent="0.25">
      <c r="I157" s="46"/>
    </row>
    <row r="158" spans="1:18" ht="20.100000000000001" customHeight="1" x14ac:dyDescent="0.25">
      <c r="A158" s="81" t="s">
        <v>169</v>
      </c>
      <c r="B158" s="81"/>
      <c r="C158" s="81"/>
      <c r="D158" s="81"/>
      <c r="E158" s="81"/>
      <c r="F158" s="81"/>
      <c r="G158" s="81"/>
      <c r="H158" s="81"/>
      <c r="I158" s="81"/>
      <c r="J158" s="81"/>
      <c r="K158" s="81"/>
      <c r="L158" s="81"/>
      <c r="M158" s="81"/>
      <c r="N158" s="81"/>
      <c r="O158" s="81"/>
      <c r="P158" s="81"/>
      <c r="Q158" s="81"/>
      <c r="R158" s="81"/>
    </row>
    <row r="159" spans="1:18" ht="20.100000000000001" customHeight="1" x14ac:dyDescent="0.25">
      <c r="I159" s="46"/>
    </row>
    <row r="160" spans="1:18" ht="20.100000000000001" customHeight="1" x14ac:dyDescent="0.25">
      <c r="I160" s="46"/>
    </row>
    <row r="161" spans="9:9" ht="20.100000000000001" customHeight="1" x14ac:dyDescent="0.25">
      <c r="I161" s="46"/>
    </row>
    <row r="162" spans="9:9" ht="20.100000000000001" customHeight="1" x14ac:dyDescent="0.25">
      <c r="I162" s="46"/>
    </row>
    <row r="163" spans="9:9" ht="20.100000000000001" customHeight="1" x14ac:dyDescent="0.25">
      <c r="I163" s="46"/>
    </row>
    <row r="164" spans="9:9" ht="20.100000000000001" customHeight="1" x14ac:dyDescent="0.25">
      <c r="I164" s="46"/>
    </row>
    <row r="165" spans="9:9" ht="20.100000000000001" customHeight="1" x14ac:dyDescent="0.25">
      <c r="I165" s="46"/>
    </row>
    <row r="166" spans="9:9" ht="20.100000000000001" customHeight="1" x14ac:dyDescent="0.25">
      <c r="I166" s="46"/>
    </row>
    <row r="167" spans="9:9" ht="20.100000000000001" customHeight="1" x14ac:dyDescent="0.25">
      <c r="I167" s="46"/>
    </row>
    <row r="168" spans="9:9" ht="20.100000000000001" customHeight="1" x14ac:dyDescent="0.25">
      <c r="I168" s="46"/>
    </row>
    <row r="169" spans="9:9" ht="20.100000000000001" customHeight="1" x14ac:dyDescent="0.25">
      <c r="I169" s="46"/>
    </row>
    <row r="170" spans="9:9" ht="20.100000000000001" customHeight="1" x14ac:dyDescent="0.25">
      <c r="I170" s="46"/>
    </row>
    <row r="171" spans="9:9" ht="20.100000000000001" customHeight="1" x14ac:dyDescent="0.25">
      <c r="I171" s="46"/>
    </row>
    <row r="172" spans="9:9" ht="20.100000000000001" customHeight="1" x14ac:dyDescent="0.25">
      <c r="I172" s="46"/>
    </row>
    <row r="173" spans="9:9" ht="20.100000000000001" customHeight="1" x14ac:dyDescent="0.25">
      <c r="I173" s="46"/>
    </row>
    <row r="174" spans="9:9" ht="20.100000000000001" customHeight="1" x14ac:dyDescent="0.25">
      <c r="I174" s="46"/>
    </row>
    <row r="177" spans="1:18" ht="20.100000000000001" customHeight="1" x14ac:dyDescent="0.25">
      <c r="A177" s="94" t="s">
        <v>170</v>
      </c>
      <c r="B177" s="94"/>
      <c r="C177" s="94"/>
      <c r="D177" s="94"/>
      <c r="E177" s="94"/>
      <c r="F177" s="94"/>
      <c r="G177" s="94"/>
      <c r="H177" s="94"/>
      <c r="I177" s="94"/>
      <c r="J177" s="94"/>
      <c r="K177" s="94"/>
      <c r="L177" s="94"/>
      <c r="M177" s="94"/>
      <c r="N177" s="94"/>
      <c r="O177" s="94"/>
      <c r="P177" s="94"/>
      <c r="Q177" s="94"/>
      <c r="R177" s="94"/>
    </row>
    <row r="179" spans="1:18" ht="39.950000000000003" customHeight="1" x14ac:dyDescent="0.25">
      <c r="A179" s="101" t="s">
        <v>171</v>
      </c>
      <c r="B179" s="101"/>
      <c r="C179" s="101"/>
      <c r="D179" s="101"/>
      <c r="E179" s="101"/>
      <c r="F179" s="101"/>
      <c r="G179" s="101"/>
      <c r="H179" s="101"/>
      <c r="I179" s="47" t="s">
        <v>140</v>
      </c>
      <c r="J179" s="101" t="s">
        <v>172</v>
      </c>
      <c r="K179" s="101"/>
      <c r="L179" s="101"/>
      <c r="M179" s="101" t="s">
        <v>158</v>
      </c>
      <c r="N179" s="101"/>
      <c r="O179" s="101"/>
      <c r="P179" s="101" t="s">
        <v>173</v>
      </c>
      <c r="Q179" s="101"/>
      <c r="R179" s="101"/>
    </row>
    <row r="180" spans="1:18" ht="20.100000000000001" customHeight="1" x14ac:dyDescent="0.25">
      <c r="A180" s="81" t="s">
        <v>174</v>
      </c>
      <c r="B180" s="81"/>
      <c r="C180" s="81"/>
      <c r="D180" s="81"/>
      <c r="E180" s="81"/>
      <c r="F180" s="81"/>
      <c r="G180" s="81"/>
      <c r="H180" s="81"/>
      <c r="I180" s="34" t="s">
        <v>175</v>
      </c>
      <c r="J180" s="116">
        <v>0.15</v>
      </c>
      <c r="K180" s="116"/>
      <c r="L180" s="116"/>
      <c r="M180" s="115">
        <f>J180</f>
        <v>0.15</v>
      </c>
      <c r="N180" s="115"/>
      <c r="O180" s="115"/>
      <c r="P180" s="116">
        <f>(J180-M180)</f>
        <v>0</v>
      </c>
      <c r="Q180" s="116"/>
      <c r="R180" s="116"/>
    </row>
    <row r="181" spans="1:18" ht="20.100000000000001" customHeight="1" x14ac:dyDescent="0.25">
      <c r="A181" s="83" t="s">
        <v>176</v>
      </c>
      <c r="B181" s="83"/>
      <c r="C181" s="83"/>
      <c r="D181" s="83"/>
      <c r="E181" s="83"/>
      <c r="F181" s="83"/>
      <c r="G181" s="83"/>
      <c r="H181" s="83"/>
      <c r="I181" s="39" t="s">
        <v>177</v>
      </c>
      <c r="J181" s="115">
        <v>0.1</v>
      </c>
      <c r="K181" s="115"/>
      <c r="L181" s="115"/>
      <c r="M181" s="115">
        <f t="shared" ref="M181:M186" si="4">J181</f>
        <v>0.1</v>
      </c>
      <c r="N181" s="115"/>
      <c r="O181" s="115"/>
      <c r="P181" s="115">
        <f t="shared" ref="P181:P186" si="5">(J181-M181)</f>
        <v>0</v>
      </c>
      <c r="Q181" s="115"/>
      <c r="R181" s="115"/>
    </row>
    <row r="182" spans="1:18" ht="20.100000000000001" customHeight="1" x14ac:dyDescent="0.25">
      <c r="A182" s="83" t="s">
        <v>213</v>
      </c>
      <c r="B182" s="83"/>
      <c r="C182" s="83"/>
      <c r="D182" s="83"/>
      <c r="E182" s="83"/>
      <c r="F182" s="83"/>
      <c r="G182" s="83"/>
      <c r="H182" s="83"/>
      <c r="I182" s="39" t="s">
        <v>178</v>
      </c>
      <c r="J182" s="115">
        <v>0.05</v>
      </c>
      <c r="K182" s="115"/>
      <c r="L182" s="115"/>
      <c r="M182" s="115">
        <f t="shared" si="4"/>
        <v>0.05</v>
      </c>
      <c r="N182" s="115"/>
      <c r="O182" s="115"/>
      <c r="P182" s="115">
        <f t="shared" si="5"/>
        <v>0</v>
      </c>
      <c r="Q182" s="115"/>
      <c r="R182" s="115"/>
    </row>
    <row r="183" spans="1:18" ht="20.100000000000001" customHeight="1" x14ac:dyDescent="0.25">
      <c r="A183" s="83" t="s">
        <v>179</v>
      </c>
      <c r="B183" s="83"/>
      <c r="C183" s="83"/>
      <c r="D183" s="83"/>
      <c r="E183" s="83"/>
      <c r="F183" s="83"/>
      <c r="G183" s="83"/>
      <c r="H183" s="83"/>
      <c r="I183" s="39" t="s">
        <v>180</v>
      </c>
      <c r="J183" s="115">
        <v>0.15</v>
      </c>
      <c r="K183" s="115"/>
      <c r="L183" s="115"/>
      <c r="M183" s="115">
        <f t="shared" si="4"/>
        <v>0.15</v>
      </c>
      <c r="N183" s="115"/>
      <c r="O183" s="115"/>
      <c r="P183" s="115">
        <f t="shared" si="5"/>
        <v>0</v>
      </c>
      <c r="Q183" s="115"/>
      <c r="R183" s="115"/>
    </row>
    <row r="184" spans="1:18" ht="20.100000000000001" customHeight="1" x14ac:dyDescent="0.25">
      <c r="A184" s="83" t="s">
        <v>181</v>
      </c>
      <c r="B184" s="83"/>
      <c r="C184" s="83"/>
      <c r="D184" s="83"/>
      <c r="E184" s="83"/>
      <c r="F184" s="83"/>
      <c r="G184" s="83"/>
      <c r="H184" s="83"/>
      <c r="I184" s="39" t="s">
        <v>182</v>
      </c>
      <c r="J184" s="115">
        <v>0.1</v>
      </c>
      <c r="K184" s="115"/>
      <c r="L184" s="115"/>
      <c r="M184" s="115">
        <f t="shared" si="4"/>
        <v>0.1</v>
      </c>
      <c r="N184" s="115"/>
      <c r="O184" s="115"/>
      <c r="P184" s="115">
        <f t="shared" si="5"/>
        <v>0</v>
      </c>
      <c r="Q184" s="115"/>
      <c r="R184" s="115"/>
    </row>
    <row r="185" spans="1:18" ht="20.100000000000001" customHeight="1" x14ac:dyDescent="0.25">
      <c r="A185" s="83" t="s">
        <v>183</v>
      </c>
      <c r="B185" s="83"/>
      <c r="C185" s="83"/>
      <c r="D185" s="83"/>
      <c r="E185" s="83"/>
      <c r="F185" s="83"/>
      <c r="G185" s="83"/>
      <c r="H185" s="83"/>
      <c r="I185" s="39" t="s">
        <v>184</v>
      </c>
      <c r="J185" s="115">
        <v>0.3</v>
      </c>
      <c r="K185" s="115"/>
      <c r="L185" s="115"/>
      <c r="M185" s="115">
        <f t="shared" si="4"/>
        <v>0.3</v>
      </c>
      <c r="N185" s="115"/>
      <c r="O185" s="115"/>
      <c r="P185" s="115">
        <f t="shared" si="5"/>
        <v>0</v>
      </c>
      <c r="Q185" s="115"/>
      <c r="R185" s="115"/>
    </row>
    <row r="186" spans="1:18" ht="20.100000000000001" customHeight="1" x14ac:dyDescent="0.25">
      <c r="A186" s="83" t="s">
        <v>185</v>
      </c>
      <c r="B186" s="83"/>
      <c r="C186" s="83"/>
      <c r="D186" s="83"/>
      <c r="E186" s="83"/>
      <c r="F186" s="83"/>
      <c r="G186" s="83"/>
      <c r="H186" s="83"/>
      <c r="I186" s="39" t="s">
        <v>186</v>
      </c>
      <c r="J186" s="115">
        <v>0.05</v>
      </c>
      <c r="K186" s="115"/>
      <c r="L186" s="115"/>
      <c r="M186" s="115">
        <f t="shared" si="4"/>
        <v>0.05</v>
      </c>
      <c r="N186" s="115"/>
      <c r="O186" s="115"/>
      <c r="P186" s="115">
        <f t="shared" si="5"/>
        <v>0</v>
      </c>
      <c r="Q186" s="115"/>
      <c r="R186" s="115"/>
    </row>
    <row r="188" spans="1:18" ht="20.100000000000001" customHeight="1" x14ac:dyDescent="0.25">
      <c r="A188" s="86" t="s">
        <v>187</v>
      </c>
      <c r="B188" s="86"/>
      <c r="C188" s="86"/>
      <c r="D188" s="86"/>
      <c r="E188" s="86"/>
      <c r="F188" s="86"/>
      <c r="G188" s="86"/>
      <c r="H188" s="86"/>
      <c r="I188" s="86"/>
      <c r="J188" s="111">
        <f>1+(SUM(J180:L186))</f>
        <v>1.9</v>
      </c>
      <c r="K188" s="111"/>
      <c r="L188" s="111"/>
      <c r="M188" s="111">
        <f>1+(SUM(M180:O186))</f>
        <v>1.9</v>
      </c>
      <c r="N188" s="111"/>
      <c r="O188" s="111"/>
    </row>
    <row r="189" spans="1:18" ht="20.100000000000001" customHeight="1" x14ac:dyDescent="0.25">
      <c r="A189" s="109" t="s">
        <v>188</v>
      </c>
      <c r="B189" s="109"/>
      <c r="C189" s="109"/>
      <c r="D189" s="109"/>
      <c r="E189" s="109"/>
      <c r="F189" s="109"/>
      <c r="G189" s="109"/>
      <c r="H189" s="109"/>
      <c r="I189" s="109"/>
      <c r="J189" s="109"/>
      <c r="K189" s="109"/>
      <c r="L189" s="109"/>
      <c r="M189" s="109"/>
      <c r="N189" s="109"/>
      <c r="O189" s="109"/>
    </row>
    <row r="190" spans="1:18" ht="20.100000000000001" customHeight="1" x14ac:dyDescent="0.25">
      <c r="A190" s="110"/>
      <c r="B190" s="110"/>
      <c r="C190" s="110"/>
      <c r="D190" s="110"/>
      <c r="E190" s="110"/>
      <c r="F190" s="110"/>
      <c r="G190" s="110"/>
      <c r="H190" s="110"/>
      <c r="I190" s="110"/>
      <c r="J190" s="110"/>
      <c r="K190" s="110"/>
      <c r="L190" s="110"/>
      <c r="M190" s="110"/>
      <c r="N190" s="110"/>
      <c r="O190" s="110"/>
      <c r="P190" s="111">
        <f>SUM(P180:R186)</f>
        <v>0</v>
      </c>
      <c r="Q190" s="111"/>
      <c r="R190" s="111"/>
    </row>
    <row r="192" spans="1:18" ht="20.100000000000001" customHeight="1" x14ac:dyDescent="0.25">
      <c r="A192" s="90" t="s">
        <v>189</v>
      </c>
      <c r="B192" s="90"/>
      <c r="C192" s="90"/>
      <c r="D192" s="90"/>
      <c r="E192" s="90" t="s">
        <v>159</v>
      </c>
      <c r="F192" s="90"/>
      <c r="G192" s="90"/>
      <c r="H192" s="90"/>
      <c r="I192" s="90"/>
      <c r="J192" s="90"/>
      <c r="K192" s="90"/>
      <c r="L192" s="90"/>
      <c r="M192" s="90"/>
      <c r="N192" s="90"/>
      <c r="O192" s="90"/>
      <c r="P192" s="90" t="s">
        <v>136</v>
      </c>
      <c r="Q192" s="90"/>
      <c r="R192" s="90"/>
    </row>
    <row r="193" spans="1:18" ht="20.100000000000001" customHeight="1" x14ac:dyDescent="0.25">
      <c r="A193" s="90"/>
      <c r="B193" s="90"/>
      <c r="C193" s="90"/>
      <c r="D193" s="90"/>
      <c r="E193" s="47"/>
      <c r="F193" s="47"/>
      <c r="G193" s="47"/>
      <c r="H193" s="47"/>
      <c r="I193" s="47" t="s">
        <v>175</v>
      </c>
      <c r="J193" s="47" t="s">
        <v>177</v>
      </c>
      <c r="K193" s="47" t="s">
        <v>178</v>
      </c>
      <c r="L193" s="47" t="s">
        <v>180</v>
      </c>
      <c r="M193" s="47" t="s">
        <v>182</v>
      </c>
      <c r="N193" s="47" t="s">
        <v>184</v>
      </c>
      <c r="O193" s="47" t="s">
        <v>186</v>
      </c>
      <c r="P193" s="113"/>
      <c r="Q193" s="113"/>
      <c r="R193" s="113"/>
    </row>
    <row r="194" spans="1:18" ht="20.100000000000001" customHeight="1" thickBot="1" x14ac:dyDescent="0.3">
      <c r="A194" s="112"/>
      <c r="B194" s="112"/>
      <c r="C194" s="112"/>
      <c r="D194" s="112"/>
      <c r="E194" s="49"/>
      <c r="F194" s="49"/>
      <c r="G194" s="49"/>
      <c r="H194" s="49"/>
      <c r="I194" s="49">
        <f>$M$180</f>
        <v>0.15</v>
      </c>
      <c r="J194" s="49">
        <f>$M$181</f>
        <v>0.1</v>
      </c>
      <c r="K194" s="49">
        <f>$M$182</f>
        <v>0.05</v>
      </c>
      <c r="L194" s="49">
        <f>$M$183</f>
        <v>0.15</v>
      </c>
      <c r="M194" s="49">
        <f>$M$184</f>
        <v>0.1</v>
      </c>
      <c r="N194" s="49">
        <f>$M$185</f>
        <v>0.3</v>
      </c>
      <c r="O194" s="49">
        <f>$M$186</f>
        <v>0.05</v>
      </c>
      <c r="P194" s="114">
        <f>1+(SUM(I194:O194))</f>
        <v>1.9</v>
      </c>
      <c r="Q194" s="114"/>
      <c r="R194" s="114"/>
    </row>
    <row r="196" spans="1:18" ht="20.100000000000001" customHeight="1" x14ac:dyDescent="0.25">
      <c r="A196" s="81" t="s">
        <v>190</v>
      </c>
      <c r="B196" s="81"/>
      <c r="C196" s="81"/>
      <c r="D196" s="81"/>
      <c r="E196" s="81"/>
      <c r="F196" s="81"/>
      <c r="G196" s="81"/>
      <c r="H196" s="81"/>
      <c r="I196" s="81"/>
      <c r="J196" s="81"/>
      <c r="K196" s="81"/>
      <c r="L196" s="81"/>
      <c r="M196" s="81"/>
      <c r="N196" s="81"/>
      <c r="O196" s="81"/>
      <c r="P196" s="81"/>
      <c r="Q196" s="81"/>
      <c r="R196" s="81"/>
    </row>
    <row r="197" spans="1:18" ht="20.100000000000001" customHeight="1" x14ac:dyDescent="0.25">
      <c r="A197" s="81"/>
      <c r="B197" s="81"/>
      <c r="C197" s="81"/>
      <c r="D197" s="81"/>
      <c r="E197" s="81"/>
      <c r="F197" s="81"/>
      <c r="G197" s="81"/>
      <c r="H197" s="81"/>
      <c r="I197" s="81"/>
      <c r="J197" s="81"/>
      <c r="K197" s="81"/>
      <c r="L197" s="81"/>
      <c r="M197" s="81"/>
      <c r="N197" s="81"/>
      <c r="O197" s="81"/>
      <c r="P197" s="81"/>
      <c r="Q197" s="81"/>
      <c r="R197" s="81"/>
    </row>
    <row r="199" spans="1:18" ht="39.950000000000003" customHeight="1" x14ac:dyDescent="0.25">
      <c r="A199" s="35" t="s">
        <v>1</v>
      </c>
      <c r="B199" s="101" t="str">
        <f>P94</f>
        <v>Valor unitário homogeneizado</v>
      </c>
      <c r="C199" s="101"/>
      <c r="D199" s="101"/>
      <c r="E199" s="35"/>
      <c r="F199" s="35"/>
      <c r="G199" s="35"/>
      <c r="H199" s="35"/>
      <c r="I199" s="35" t="s">
        <v>175</v>
      </c>
      <c r="J199" s="35" t="s">
        <v>177</v>
      </c>
      <c r="K199" s="35" t="s">
        <v>178</v>
      </c>
      <c r="L199" s="35" t="s">
        <v>180</v>
      </c>
      <c r="M199" s="35" t="s">
        <v>182</v>
      </c>
      <c r="N199" s="35" t="s">
        <v>184</v>
      </c>
      <c r="O199" s="47" t="s">
        <v>186</v>
      </c>
      <c r="P199" s="101" t="s">
        <v>136</v>
      </c>
      <c r="Q199" s="101"/>
      <c r="R199" s="101"/>
    </row>
    <row r="200" spans="1:18" ht="20.100000000000001" customHeight="1" x14ac:dyDescent="0.25">
      <c r="A200" s="34">
        <v>1</v>
      </c>
      <c r="B200" s="81">
        <f>P95</f>
        <v>450.00000000000017</v>
      </c>
      <c r="C200" s="81"/>
      <c r="D200" s="81"/>
      <c r="E200" s="48"/>
      <c r="F200" s="48"/>
      <c r="G200" s="48"/>
      <c r="H200" s="48"/>
      <c r="I200" s="48">
        <f>$J$180</f>
        <v>0.15</v>
      </c>
      <c r="J200" s="48">
        <f>$J$181</f>
        <v>0.1</v>
      </c>
      <c r="K200" s="48">
        <f>$J$182</f>
        <v>0.05</v>
      </c>
      <c r="L200" s="48">
        <f>$J$183</f>
        <v>0.15</v>
      </c>
      <c r="M200" s="48">
        <f>$J$184</f>
        <v>0.1</v>
      </c>
      <c r="N200" s="48">
        <f>$J$185</f>
        <v>0.3</v>
      </c>
      <c r="O200" s="48">
        <f>$J$186</f>
        <v>0.05</v>
      </c>
      <c r="P200" s="107">
        <f>1+(SUM(I200:O200))</f>
        <v>1.9</v>
      </c>
      <c r="Q200" s="107"/>
      <c r="R200" s="107"/>
    </row>
    <row r="201" spans="1:18" ht="20.100000000000001" customHeight="1" x14ac:dyDescent="0.25">
      <c r="A201" s="39">
        <v>2</v>
      </c>
      <c r="B201" s="83">
        <f>P96</f>
        <v>650.89285714285768</v>
      </c>
      <c r="C201" s="83"/>
      <c r="D201" s="83"/>
      <c r="E201" s="48"/>
      <c r="F201" s="48"/>
      <c r="G201" s="48"/>
      <c r="H201" s="48"/>
      <c r="I201" s="48">
        <f>$J$180</f>
        <v>0.15</v>
      </c>
      <c r="J201" s="48">
        <f>$J$181</f>
        <v>0.1</v>
      </c>
      <c r="K201" s="48">
        <f>$J$182</f>
        <v>0.05</v>
      </c>
      <c r="L201" s="48">
        <f>$J$183</f>
        <v>0.15</v>
      </c>
      <c r="M201" s="48">
        <f>$J$184</f>
        <v>0.1</v>
      </c>
      <c r="N201" s="48">
        <f>$J$185</f>
        <v>0.3</v>
      </c>
      <c r="O201" s="48">
        <f>$J$186</f>
        <v>0.05</v>
      </c>
      <c r="P201" s="108">
        <f>1+(SUM(I201:O201))</f>
        <v>1.9</v>
      </c>
      <c r="Q201" s="108"/>
      <c r="R201" s="108"/>
    </row>
    <row r="202" spans="1:18" ht="20.100000000000001" customHeight="1" thickBot="1" x14ac:dyDescent="0.3">
      <c r="A202" s="43">
        <v>3</v>
      </c>
      <c r="B202" s="103">
        <f>P97</f>
        <v>570</v>
      </c>
      <c r="C202" s="103"/>
      <c r="D202" s="103"/>
      <c r="E202" s="50"/>
      <c r="F202" s="50"/>
      <c r="G202" s="50"/>
      <c r="H202" s="50"/>
      <c r="I202" s="50">
        <f>$J$180</f>
        <v>0.15</v>
      </c>
      <c r="J202" s="50">
        <f>$J$181</f>
        <v>0.1</v>
      </c>
      <c r="K202" s="50">
        <f>$J$182</f>
        <v>0.05</v>
      </c>
      <c r="L202" s="50">
        <f>$J$183</f>
        <v>0.15</v>
      </c>
      <c r="M202" s="50">
        <f>$J$184</f>
        <v>0.1</v>
      </c>
      <c r="N202" s="50">
        <f>$J$185</f>
        <v>0.3</v>
      </c>
      <c r="O202" s="50">
        <f>$J$186</f>
        <v>0.05</v>
      </c>
      <c r="P202" s="106">
        <f>1+(SUM(I202:O202))</f>
        <v>1.9</v>
      </c>
      <c r="Q202" s="106"/>
      <c r="R202" s="106"/>
    </row>
    <row r="204" spans="1:18" ht="39.950000000000003" customHeight="1" thickBot="1" x14ac:dyDescent="0.3">
      <c r="A204" s="51" t="s">
        <v>1</v>
      </c>
      <c r="B204" s="101" t="str">
        <f>B199</f>
        <v>Valor unitário homogeneizado</v>
      </c>
      <c r="C204" s="101"/>
      <c r="D204" s="101"/>
      <c r="E204" s="101" t="s">
        <v>191</v>
      </c>
      <c r="F204" s="101"/>
      <c r="G204" s="101"/>
      <c r="H204" s="101" t="s">
        <v>192</v>
      </c>
      <c r="I204" s="101"/>
      <c r="J204" s="101"/>
      <c r="K204" s="101" t="s">
        <v>139</v>
      </c>
      <c r="L204" s="101"/>
      <c r="M204" s="101"/>
      <c r="N204" s="101" t="s">
        <v>193</v>
      </c>
      <c r="O204" s="101"/>
      <c r="P204" s="101"/>
      <c r="Q204" s="101"/>
      <c r="R204" s="101"/>
    </row>
    <row r="205" spans="1:18" ht="20.100000000000001" customHeight="1" x14ac:dyDescent="0.25">
      <c r="A205" s="34">
        <v>1</v>
      </c>
      <c r="B205" s="81">
        <f>B200</f>
        <v>450.00000000000017</v>
      </c>
      <c r="C205" s="81"/>
      <c r="D205" s="81"/>
      <c r="E205" s="105">
        <f>P200</f>
        <v>1.9</v>
      </c>
      <c r="F205" s="105"/>
      <c r="G205" s="105"/>
      <c r="H205" s="105">
        <f>$P$194</f>
        <v>1.9</v>
      </c>
      <c r="I205" s="105"/>
      <c r="J205" s="105"/>
      <c r="K205" s="105">
        <f>H205/E205</f>
        <v>1</v>
      </c>
      <c r="L205" s="105"/>
      <c r="M205" s="105"/>
      <c r="N205" s="81">
        <f t="shared" ref="N205:N207" si="6">B205*K205</f>
        <v>450.00000000000017</v>
      </c>
      <c r="O205" s="81"/>
      <c r="P205" s="81"/>
      <c r="Q205" s="81"/>
      <c r="R205" s="81"/>
    </row>
    <row r="206" spans="1:18" ht="20.100000000000001" customHeight="1" x14ac:dyDescent="0.25">
      <c r="A206" s="39">
        <v>2</v>
      </c>
      <c r="B206" s="83">
        <f>B201</f>
        <v>650.89285714285768</v>
      </c>
      <c r="C206" s="83"/>
      <c r="D206" s="83"/>
      <c r="E206" s="84">
        <f>P201</f>
        <v>1.9</v>
      </c>
      <c r="F206" s="84"/>
      <c r="G206" s="84"/>
      <c r="H206" s="84">
        <f t="shared" ref="H206:H207" si="7">$P$194</f>
        <v>1.9</v>
      </c>
      <c r="I206" s="84"/>
      <c r="J206" s="84"/>
      <c r="K206" s="84">
        <f t="shared" ref="K206:K207" si="8">H206/E206</f>
        <v>1</v>
      </c>
      <c r="L206" s="84"/>
      <c r="M206" s="84"/>
      <c r="N206" s="83">
        <f t="shared" si="6"/>
        <v>650.89285714285768</v>
      </c>
      <c r="O206" s="83"/>
      <c r="P206" s="83"/>
      <c r="Q206" s="83"/>
      <c r="R206" s="83"/>
    </row>
    <row r="207" spans="1:18" ht="20.100000000000001" customHeight="1" thickBot="1" x14ac:dyDescent="0.3">
      <c r="A207" s="43">
        <v>3</v>
      </c>
      <c r="B207" s="103">
        <f>B202</f>
        <v>570</v>
      </c>
      <c r="C207" s="103"/>
      <c r="D207" s="103"/>
      <c r="E207" s="104">
        <f>P202</f>
        <v>1.9</v>
      </c>
      <c r="F207" s="104"/>
      <c r="G207" s="104"/>
      <c r="H207" s="104">
        <f t="shared" si="7"/>
        <v>1.9</v>
      </c>
      <c r="I207" s="104"/>
      <c r="J207" s="104"/>
      <c r="K207" s="104">
        <f t="shared" si="8"/>
        <v>1</v>
      </c>
      <c r="L207" s="104"/>
      <c r="M207" s="104"/>
      <c r="N207" s="103">
        <f t="shared" si="6"/>
        <v>570</v>
      </c>
      <c r="O207" s="103"/>
      <c r="P207" s="103"/>
      <c r="Q207" s="103"/>
      <c r="R207" s="103"/>
    </row>
    <row r="209" spans="1:24" ht="20.100000000000001" customHeight="1" x14ac:dyDescent="0.25">
      <c r="L209" s="86" t="s">
        <v>4</v>
      </c>
      <c r="M209" s="86"/>
      <c r="N209" s="86"/>
      <c r="O209" s="86"/>
      <c r="P209" s="86">
        <f>AVERAGE(N205:R207)</f>
        <v>556.96428571428589</v>
      </c>
      <c r="Q209" s="86"/>
      <c r="R209" s="86"/>
    </row>
    <row r="210" spans="1:24" ht="20.100000000000001" customHeight="1" x14ac:dyDescent="0.25">
      <c r="L210" s="81" t="s">
        <v>5</v>
      </c>
      <c r="M210" s="81"/>
      <c r="N210" s="81"/>
      <c r="O210" s="81"/>
      <c r="P210" s="86">
        <f>STDEVA(N205:R207)</f>
        <v>101.07884248426686</v>
      </c>
      <c r="Q210" s="86"/>
      <c r="R210" s="86"/>
    </row>
    <row r="211" spans="1:24" ht="20.100000000000001" customHeight="1" x14ac:dyDescent="0.25">
      <c r="L211" s="83" t="s">
        <v>3</v>
      </c>
      <c r="M211" s="83"/>
      <c r="N211" s="83"/>
      <c r="O211" s="83"/>
      <c r="P211" s="100">
        <f>P210/P209</f>
        <v>0.18148173065466311</v>
      </c>
      <c r="Q211" s="100"/>
      <c r="R211" s="100"/>
    </row>
    <row r="214" spans="1:24" ht="20.100000000000001" customHeight="1" x14ac:dyDescent="0.25">
      <c r="A214" s="94" t="s">
        <v>12</v>
      </c>
      <c r="B214" s="94"/>
      <c r="C214" s="94"/>
      <c r="D214" s="94"/>
      <c r="E214" s="94"/>
      <c r="F214" s="94"/>
      <c r="G214" s="94"/>
      <c r="H214" s="94"/>
      <c r="I214" s="94"/>
      <c r="J214" s="94"/>
      <c r="K214" s="94"/>
      <c r="L214" s="94"/>
      <c r="M214" s="94"/>
      <c r="N214" s="94"/>
      <c r="O214" s="94"/>
      <c r="P214" s="94"/>
      <c r="Q214" s="94"/>
      <c r="R214" s="94"/>
    </row>
    <row r="216" spans="1:24" ht="20.100000000000001" customHeight="1" x14ac:dyDescent="0.25">
      <c r="A216" s="35" t="s">
        <v>1</v>
      </c>
      <c r="B216" s="101" t="s">
        <v>2</v>
      </c>
      <c r="C216" s="101"/>
      <c r="D216" s="101"/>
      <c r="E216" s="101"/>
      <c r="F216" s="101"/>
      <c r="L216" s="86" t="s">
        <v>6</v>
      </c>
      <c r="M216" s="86"/>
      <c r="N216" s="86"/>
      <c r="O216" s="86"/>
      <c r="P216" s="86"/>
      <c r="Q216" s="102">
        <v>0.3</v>
      </c>
      <c r="R216" s="102"/>
    </row>
    <row r="217" spans="1:24" ht="20.100000000000001" customHeight="1" x14ac:dyDescent="0.25">
      <c r="A217" s="34">
        <v>1</v>
      </c>
      <c r="B217" s="81">
        <f>N205</f>
        <v>450.00000000000017</v>
      </c>
      <c r="C217" s="81"/>
      <c r="D217" s="81"/>
      <c r="E217" s="81"/>
      <c r="F217" s="81"/>
      <c r="G217" s="56">
        <f t="shared" ref="G217:G219" si="9">A217</f>
        <v>1</v>
      </c>
    </row>
    <row r="218" spans="1:24" ht="20.100000000000001" customHeight="1" x14ac:dyDescent="0.25">
      <c r="A218" s="39">
        <v>2</v>
      </c>
      <c r="B218" s="81">
        <f>N206</f>
        <v>650.89285714285768</v>
      </c>
      <c r="C218" s="81"/>
      <c r="D218" s="81"/>
      <c r="E218" s="81"/>
      <c r="F218" s="81"/>
      <c r="G218" s="56">
        <f t="shared" si="9"/>
        <v>2</v>
      </c>
      <c r="L218" s="86" t="s">
        <v>4</v>
      </c>
      <c r="M218" s="86"/>
      <c r="N218" s="86"/>
      <c r="O218" s="86"/>
      <c r="P218" s="86">
        <f>AVERAGE(B217:B219)</f>
        <v>556.96428571428589</v>
      </c>
      <c r="Q218" s="86"/>
      <c r="R218" s="86"/>
    </row>
    <row r="219" spans="1:24" ht="20.100000000000001" customHeight="1" x14ac:dyDescent="0.25">
      <c r="A219" s="39">
        <v>3</v>
      </c>
      <c r="B219" s="83">
        <f>N207</f>
        <v>570</v>
      </c>
      <c r="C219" s="83"/>
      <c r="D219" s="83"/>
      <c r="E219" s="83"/>
      <c r="F219" s="83"/>
      <c r="G219" s="56">
        <f t="shared" si="9"/>
        <v>3</v>
      </c>
      <c r="L219" s="86" t="s">
        <v>8</v>
      </c>
      <c r="M219" s="86"/>
      <c r="N219" s="86"/>
      <c r="O219" s="86"/>
      <c r="P219" s="86">
        <f>P218*(1+Q216)</f>
        <v>724.05357142857167</v>
      </c>
      <c r="Q219" s="86"/>
      <c r="R219" s="86"/>
    </row>
    <row r="220" spans="1:24" ht="20.100000000000001" customHeight="1" x14ac:dyDescent="0.25">
      <c r="L220" s="86" t="s">
        <v>7</v>
      </c>
      <c r="M220" s="86"/>
      <c r="N220" s="86"/>
      <c r="O220" s="86"/>
      <c r="P220" s="86">
        <f>P218*(1-Q216)</f>
        <v>389.87500000000011</v>
      </c>
      <c r="Q220" s="86"/>
      <c r="R220" s="86"/>
    </row>
    <row r="221" spans="1:24" ht="20.100000000000001" customHeight="1" x14ac:dyDescent="0.25">
      <c r="L221" s="86" t="s">
        <v>10</v>
      </c>
      <c r="M221" s="86"/>
      <c r="N221" s="86"/>
      <c r="O221" s="86"/>
      <c r="P221" s="86">
        <f>MAX(B217:B219)</f>
        <v>650.89285714285768</v>
      </c>
      <c r="Q221" s="86"/>
      <c r="R221" s="86"/>
    </row>
    <row r="222" spans="1:24" ht="20.100000000000001" customHeight="1" x14ac:dyDescent="0.25">
      <c r="L222" s="86" t="s">
        <v>9</v>
      </c>
      <c r="M222" s="86"/>
      <c r="N222" s="86"/>
      <c r="O222" s="86"/>
      <c r="P222" s="86">
        <f>MIN(B217:B219)</f>
        <v>450.00000000000017</v>
      </c>
      <c r="Q222" s="86"/>
      <c r="R222" s="86"/>
    </row>
    <row r="223" spans="1:24" ht="20.100000000000001" customHeight="1" x14ac:dyDescent="0.25">
      <c r="L223" s="81"/>
      <c r="M223" s="81"/>
      <c r="N223" s="81"/>
      <c r="O223" s="81"/>
      <c r="P223" s="81"/>
      <c r="Q223" s="81"/>
      <c r="R223" s="81"/>
    </row>
    <row r="224" spans="1:24" ht="20.100000000000001" customHeight="1" x14ac:dyDescent="0.25">
      <c r="L224" s="86" t="s">
        <v>14</v>
      </c>
      <c r="M224" s="86"/>
      <c r="N224" s="86" t="str">
        <f>IF(P224="Nada a excluir","",X224)</f>
        <v/>
      </c>
      <c r="O224" s="86"/>
      <c r="P224" s="86" t="str" cm="1">
        <f t="array" ref="P224">_xlfn.IFS(AND(OR(P221&gt;P219,P222&lt;P220),(P221-P218)&gt;(P218-P222)),P221,AND(OR(P222&lt;P220,P221&gt;P219),(P218-P222)&gt;(P221-P218)),P222,AND(P221&lt;=P219,P222&gt;=P220),"Nada a excluir")</f>
        <v>Nada a excluir</v>
      </c>
      <c r="Q224" s="86"/>
      <c r="R224" s="86"/>
      <c r="X224" s="33" t="e">
        <f>VLOOKUP(P224,B217:G219,6,0)</f>
        <v>#N/A</v>
      </c>
    </row>
    <row r="225" spans="12:25" ht="20.100000000000001" customHeight="1" x14ac:dyDescent="0.25">
      <c r="L225" s="83" t="s">
        <v>13</v>
      </c>
      <c r="M225" s="83"/>
      <c r="N225" s="83"/>
      <c r="O225" s="83"/>
      <c r="P225" s="84" t="str">
        <f>IF(P224="Nada a excluir","Encerrar","Continuar")</f>
        <v>Encerrar</v>
      </c>
      <c r="Q225" s="84"/>
      <c r="R225" s="84"/>
    </row>
    <row r="227" spans="12:25" ht="20.100000000000001" customHeight="1" x14ac:dyDescent="0.25">
      <c r="L227" s="86" t="s">
        <v>11</v>
      </c>
      <c r="M227" s="86"/>
      <c r="N227" s="86"/>
      <c r="O227" s="86"/>
      <c r="P227" s="91">
        <f>STDEVA(B217:B219)</f>
        <v>101.07884248426686</v>
      </c>
      <c r="Q227" s="91"/>
      <c r="R227" s="91"/>
    </row>
    <row r="228" spans="12:25" ht="20.100000000000001" customHeight="1" x14ac:dyDescent="0.25">
      <c r="L228" s="83" t="s">
        <v>3</v>
      </c>
      <c r="M228" s="83"/>
      <c r="N228" s="83"/>
      <c r="O228" s="83"/>
      <c r="P228" s="89">
        <f>P227/P218</f>
        <v>0.18148173065466311</v>
      </c>
      <c r="Q228" s="89"/>
      <c r="R228" s="89"/>
    </row>
    <row r="229" spans="12:25" ht="20.100000000000001" customHeight="1" x14ac:dyDescent="0.25">
      <c r="P229" s="52"/>
      <c r="Q229" s="52"/>
      <c r="R229" s="52"/>
    </row>
    <row r="230" spans="12:25" ht="20.100000000000001" customHeight="1" x14ac:dyDescent="0.25">
      <c r="P230" s="52"/>
      <c r="Q230" s="52"/>
      <c r="R230" s="52"/>
    </row>
    <row r="231" spans="12:25" ht="20.100000000000001" customHeight="1" x14ac:dyDescent="0.25">
      <c r="P231" s="52"/>
      <c r="Q231" s="52"/>
      <c r="R231" s="52"/>
      <c r="W231" s="33" t="s">
        <v>7</v>
      </c>
      <c r="X231" s="33" t="s">
        <v>8</v>
      </c>
      <c r="Y231" s="33" t="s">
        <v>4</v>
      </c>
    </row>
    <row r="232" spans="12:25" ht="20.100000000000001" customHeight="1" x14ac:dyDescent="0.25">
      <c r="P232" s="52"/>
      <c r="Q232" s="52"/>
      <c r="R232" s="52"/>
      <c r="W232" s="33">
        <f>$P$220</f>
        <v>389.87500000000011</v>
      </c>
      <c r="X232" s="33">
        <f>$P$219</f>
        <v>724.05357142857167</v>
      </c>
      <c r="Y232" s="33">
        <f>$P$218</f>
        <v>556.96428571428589</v>
      </c>
    </row>
    <row r="233" spans="12:25" ht="20.100000000000001" customHeight="1" x14ac:dyDescent="0.25">
      <c r="P233" s="52"/>
      <c r="Q233" s="52"/>
      <c r="R233" s="52"/>
      <c r="W233" s="33">
        <f t="shared" ref="W233:W234" si="10">$P$220</f>
        <v>389.87500000000011</v>
      </c>
      <c r="X233" s="33">
        <f t="shared" ref="X233:X234" si="11">$P$219</f>
        <v>724.05357142857167</v>
      </c>
      <c r="Y233" s="33">
        <f t="shared" ref="Y233:Y234" si="12">$P$218</f>
        <v>556.96428571428589</v>
      </c>
    </row>
    <row r="234" spans="12:25" ht="20.100000000000001" customHeight="1" x14ac:dyDescent="0.25">
      <c r="P234" s="52"/>
      <c r="Q234" s="52"/>
      <c r="R234" s="52"/>
      <c r="W234" s="33">
        <f t="shared" si="10"/>
        <v>389.87500000000011</v>
      </c>
      <c r="X234" s="33">
        <f t="shared" si="11"/>
        <v>724.05357142857167</v>
      </c>
      <c r="Y234" s="33">
        <f t="shared" si="12"/>
        <v>556.96428571428589</v>
      </c>
    </row>
    <row r="235" spans="12:25" ht="20.100000000000001" customHeight="1" x14ac:dyDescent="0.25">
      <c r="P235" s="52"/>
      <c r="Q235" s="52"/>
      <c r="R235" s="52"/>
    </row>
    <row r="236" spans="12:25" ht="20.100000000000001" customHeight="1" x14ac:dyDescent="0.25">
      <c r="P236" s="52"/>
      <c r="Q236" s="52"/>
      <c r="R236" s="52"/>
    </row>
    <row r="237" spans="12:25" ht="20.100000000000001" customHeight="1" x14ac:dyDescent="0.25">
      <c r="P237" s="52"/>
      <c r="Q237" s="52"/>
      <c r="R237" s="52"/>
    </row>
    <row r="238" spans="12:25" ht="20.100000000000001" customHeight="1" x14ac:dyDescent="0.25">
      <c r="P238" s="52"/>
      <c r="Q238" s="52"/>
      <c r="R238" s="52"/>
    </row>
    <row r="239" spans="12:25" ht="20.100000000000001" customHeight="1" x14ac:dyDescent="0.25">
      <c r="P239" s="52"/>
      <c r="Q239" s="52"/>
      <c r="R239" s="52"/>
    </row>
    <row r="240" spans="12:25" ht="20.100000000000001" customHeight="1" x14ac:dyDescent="0.25">
      <c r="P240" s="52"/>
      <c r="Q240" s="52"/>
      <c r="R240" s="52"/>
    </row>
    <row r="241" spans="1:30" ht="20.100000000000001" customHeight="1" x14ac:dyDescent="0.25">
      <c r="P241" s="52"/>
      <c r="Q241" s="52"/>
      <c r="R241" s="52"/>
    </row>
    <row r="242" spans="1:30" ht="20.100000000000001" customHeight="1" x14ac:dyDescent="0.25">
      <c r="P242" s="52"/>
      <c r="Q242" s="52"/>
      <c r="R242" s="52"/>
    </row>
    <row r="243" spans="1:30" ht="20.100000000000001" customHeight="1" x14ac:dyDescent="0.25">
      <c r="P243" s="52"/>
      <c r="Q243" s="52"/>
      <c r="R243" s="52"/>
    </row>
    <row r="244" spans="1:30" ht="20.100000000000001" customHeight="1" x14ac:dyDescent="0.25">
      <c r="P244" s="52"/>
      <c r="Q244" s="52"/>
      <c r="R244" s="52"/>
    </row>
    <row r="245" spans="1:30" ht="20.100000000000001" customHeight="1" x14ac:dyDescent="0.25">
      <c r="P245" s="52"/>
      <c r="Q245" s="52"/>
      <c r="R245" s="52"/>
    </row>
    <row r="247" spans="1:30" ht="20.100000000000001" customHeight="1" x14ac:dyDescent="0.25">
      <c r="A247" s="94" t="s">
        <v>15</v>
      </c>
      <c r="B247" s="94"/>
      <c r="C247" s="94"/>
      <c r="D247" s="94"/>
      <c r="E247" s="94"/>
      <c r="F247" s="94"/>
      <c r="G247" s="94"/>
      <c r="H247" s="94"/>
      <c r="I247" s="94"/>
      <c r="J247" s="94"/>
      <c r="K247" s="94"/>
      <c r="L247" s="94"/>
      <c r="M247" s="94"/>
      <c r="N247" s="94"/>
      <c r="O247" s="94"/>
      <c r="P247" s="94"/>
      <c r="Q247" s="94"/>
      <c r="R247" s="94"/>
    </row>
    <row r="249" spans="1:30" ht="20.100000000000001" customHeight="1" x14ac:dyDescent="0.25">
      <c r="A249" s="41" t="s">
        <v>1</v>
      </c>
      <c r="B249" s="95" t="s">
        <v>2</v>
      </c>
      <c r="C249" s="95"/>
      <c r="D249" s="95"/>
      <c r="E249" s="95"/>
      <c r="F249" s="95"/>
      <c r="L249" s="86" t="s">
        <v>30</v>
      </c>
      <c r="M249" s="86"/>
      <c r="N249" s="86"/>
      <c r="O249" s="86"/>
      <c r="P249" s="86"/>
      <c r="Q249" s="99">
        <v>3</v>
      </c>
      <c r="R249" s="99"/>
      <c r="S249" s="97" t="s">
        <v>32</v>
      </c>
      <c r="T249" s="97"/>
      <c r="U249" s="97"/>
      <c r="AD249" s="33" t="s">
        <v>7</v>
      </c>
    </row>
    <row r="250" spans="1:30" ht="20.100000000000001" customHeight="1" x14ac:dyDescent="0.25">
      <c r="A250" s="34">
        <v>1</v>
      </c>
      <c r="B250" s="81">
        <f>N205</f>
        <v>450.00000000000017</v>
      </c>
      <c r="C250" s="81"/>
      <c r="D250" s="81"/>
      <c r="E250" s="81"/>
      <c r="F250" s="81"/>
      <c r="G250" s="56">
        <f>A250</f>
        <v>1</v>
      </c>
      <c r="L250" s="86" t="s">
        <v>16</v>
      </c>
      <c r="M250" s="86"/>
      <c r="N250" s="86"/>
      <c r="O250" s="86"/>
      <c r="P250" s="86"/>
      <c r="Q250" s="93">
        <f>_xlfn.NORM.S.INV(1-((1/Q249)/4))</f>
        <v>1.3829941271006372</v>
      </c>
      <c r="R250" s="93"/>
      <c r="Y250" s="53"/>
      <c r="AD250" s="33">
        <f>$P$256</f>
        <v>417.17284018441444</v>
      </c>
    </row>
    <row r="251" spans="1:30" ht="20.100000000000001" customHeight="1" x14ac:dyDescent="0.25">
      <c r="A251" s="39">
        <v>2</v>
      </c>
      <c r="B251" s="83">
        <f>N206</f>
        <v>650.89285714285768</v>
      </c>
      <c r="C251" s="83"/>
      <c r="D251" s="83"/>
      <c r="E251" s="83"/>
      <c r="F251" s="83"/>
      <c r="G251" s="56">
        <f t="shared" ref="G251:G252" si="13">A251</f>
        <v>2</v>
      </c>
      <c r="AD251" s="33">
        <f t="shared" ref="AD251:AD256" si="14">$P$256</f>
        <v>417.17284018441444</v>
      </c>
    </row>
    <row r="252" spans="1:30" ht="20.100000000000001" customHeight="1" x14ac:dyDescent="0.25">
      <c r="A252" s="39">
        <v>3</v>
      </c>
      <c r="B252" s="83">
        <f>N207</f>
        <v>570</v>
      </c>
      <c r="C252" s="83"/>
      <c r="D252" s="83"/>
      <c r="E252" s="83"/>
      <c r="F252" s="83"/>
      <c r="G252" s="56">
        <f t="shared" si="13"/>
        <v>3</v>
      </c>
      <c r="L252" s="86" t="s">
        <v>4</v>
      </c>
      <c r="M252" s="86"/>
      <c r="N252" s="86"/>
      <c r="O252" s="86"/>
      <c r="P252" s="86">
        <f>AVERAGE(B250:B252)</f>
        <v>556.96428571428589</v>
      </c>
      <c r="Q252" s="86"/>
      <c r="R252" s="86"/>
      <c r="AD252" s="33">
        <f t="shared" si="14"/>
        <v>417.17284018441444</v>
      </c>
    </row>
    <row r="253" spans="1:30" ht="20.100000000000001" customHeight="1" x14ac:dyDescent="0.25">
      <c r="L253" s="86" t="s">
        <v>5</v>
      </c>
      <c r="M253" s="86"/>
      <c r="N253" s="86"/>
      <c r="O253" s="86"/>
      <c r="P253" s="86">
        <f>STDEVA(B250:F252)</f>
        <v>101.07884248426686</v>
      </c>
      <c r="Q253" s="86"/>
      <c r="R253" s="86"/>
      <c r="AD253" s="33">
        <f t="shared" si="14"/>
        <v>417.17284018441444</v>
      </c>
    </row>
    <row r="254" spans="1:30" ht="20.100000000000001" customHeight="1" x14ac:dyDescent="0.25">
      <c r="AD254" s="33">
        <f t="shared" si="14"/>
        <v>417.17284018441444</v>
      </c>
    </row>
    <row r="255" spans="1:30" ht="20.100000000000001" customHeight="1" x14ac:dyDescent="0.25">
      <c r="L255" s="86" t="s">
        <v>8</v>
      </c>
      <c r="M255" s="86"/>
      <c r="N255" s="86"/>
      <c r="O255" s="86"/>
      <c r="P255" s="86">
        <f>P252+(Q250*P253)</f>
        <v>696.75573124415735</v>
      </c>
      <c r="Q255" s="86"/>
      <c r="R255" s="86"/>
      <c r="AD255" s="33">
        <f t="shared" si="14"/>
        <v>417.17284018441444</v>
      </c>
    </row>
    <row r="256" spans="1:30" ht="20.100000000000001" customHeight="1" x14ac:dyDescent="0.25">
      <c r="L256" s="86" t="s">
        <v>7</v>
      </c>
      <c r="M256" s="86"/>
      <c r="N256" s="86"/>
      <c r="O256" s="86"/>
      <c r="P256" s="86">
        <f>P252-(Q250*P253)</f>
        <v>417.17284018441444</v>
      </c>
      <c r="Q256" s="86"/>
      <c r="R256" s="86"/>
      <c r="AD256" s="33">
        <f t="shared" si="14"/>
        <v>417.17284018441444</v>
      </c>
    </row>
    <row r="257" spans="12:25" ht="20.100000000000001" customHeight="1" x14ac:dyDescent="0.25">
      <c r="L257" s="86" t="s">
        <v>10</v>
      </c>
      <c r="M257" s="86"/>
      <c r="N257" s="86"/>
      <c r="O257" s="86"/>
      <c r="P257" s="86">
        <f>MAX(B250:B252)</f>
        <v>650.89285714285768</v>
      </c>
      <c r="Q257" s="86"/>
      <c r="R257" s="86"/>
    </row>
    <row r="258" spans="12:25" ht="20.100000000000001" customHeight="1" x14ac:dyDescent="0.25">
      <c r="L258" s="86" t="s">
        <v>9</v>
      </c>
      <c r="M258" s="86"/>
      <c r="N258" s="86"/>
      <c r="O258" s="86"/>
      <c r="P258" s="86">
        <f>MIN(B250:B252)</f>
        <v>450.00000000000017</v>
      </c>
      <c r="Q258" s="86"/>
      <c r="R258" s="86"/>
    </row>
    <row r="260" spans="12:25" ht="20.100000000000001" customHeight="1" x14ac:dyDescent="0.25">
      <c r="L260" s="86" t="s">
        <v>14</v>
      </c>
      <c r="M260" s="86"/>
      <c r="N260" s="86" t="str">
        <f>IF(P260="Nada a excluir","",X260)</f>
        <v/>
      </c>
      <c r="O260" s="86"/>
      <c r="P260" s="86" t="str" cm="1">
        <f t="array" ref="P260">_xlfn.IFS(AND(OR(P257&gt;P255,P258&lt;P256),(P257-P252)&gt;(P252-P258)),P257,AND(OR(P258&lt;P256,P257&gt;P255),(P252-P258)&gt;(P257-P252)),P258,AND(P257&lt;=P255,P258&gt;=P256),"Nada a excluir")</f>
        <v>Nada a excluir</v>
      </c>
      <c r="Q260" s="86"/>
      <c r="R260" s="86"/>
      <c r="X260" s="33" t="str">
        <f>IFERROR("",VLOOKUP(P260,B250:G252,6,0))</f>
        <v/>
      </c>
    </row>
    <row r="261" spans="12:25" ht="20.100000000000001" customHeight="1" x14ac:dyDescent="0.25">
      <c r="L261" s="83" t="s">
        <v>13</v>
      </c>
      <c r="M261" s="83"/>
      <c r="N261" s="83"/>
      <c r="O261" s="83"/>
      <c r="P261" s="84" t="str">
        <f>IF(P260="Nada a excluir","Encerrar","Continuar")</f>
        <v>Encerrar</v>
      </c>
      <c r="Q261" s="84"/>
      <c r="R261" s="84"/>
    </row>
    <row r="263" spans="12:25" ht="20.100000000000001" customHeight="1" x14ac:dyDescent="0.25">
      <c r="L263" s="86" t="s">
        <v>11</v>
      </c>
      <c r="M263" s="86"/>
      <c r="N263" s="86"/>
      <c r="O263" s="86"/>
      <c r="P263" s="91">
        <f>P253</f>
        <v>101.07884248426686</v>
      </c>
      <c r="Q263" s="91"/>
      <c r="R263" s="91"/>
    </row>
    <row r="264" spans="12:25" ht="20.100000000000001" customHeight="1" x14ac:dyDescent="0.25">
      <c r="L264" s="83" t="s">
        <v>3</v>
      </c>
      <c r="M264" s="83"/>
      <c r="N264" s="83"/>
      <c r="O264" s="83"/>
      <c r="P264" s="89">
        <f>P253/P252</f>
        <v>0.18148173065466311</v>
      </c>
      <c r="Q264" s="89"/>
      <c r="R264" s="89"/>
    </row>
    <row r="266" spans="12:25" ht="20.100000000000001" customHeight="1" x14ac:dyDescent="0.25">
      <c r="W266" s="33" t="s">
        <v>7</v>
      </c>
      <c r="X266" s="33" t="s">
        <v>8</v>
      </c>
      <c r="Y266" s="33" t="s">
        <v>4</v>
      </c>
    </row>
    <row r="267" spans="12:25" ht="20.100000000000001" customHeight="1" x14ac:dyDescent="0.25">
      <c r="W267" s="33">
        <f>$P$256</f>
        <v>417.17284018441444</v>
      </c>
      <c r="X267" s="33">
        <f>$P$255</f>
        <v>696.75573124415735</v>
      </c>
      <c r="Y267" s="33">
        <f>$P$218</f>
        <v>556.96428571428589</v>
      </c>
    </row>
    <row r="268" spans="12:25" ht="20.100000000000001" customHeight="1" x14ac:dyDescent="0.25">
      <c r="W268" s="33">
        <f t="shared" ref="W268:W269" si="15">$P$256</f>
        <v>417.17284018441444</v>
      </c>
      <c r="X268" s="33">
        <f t="shared" ref="X268:X269" si="16">$P$255</f>
        <v>696.75573124415735</v>
      </c>
      <c r="Y268" s="33">
        <f t="shared" ref="Y268:Y269" si="17">$P$218</f>
        <v>556.96428571428589</v>
      </c>
    </row>
    <row r="269" spans="12:25" ht="20.100000000000001" customHeight="1" x14ac:dyDescent="0.25">
      <c r="W269" s="33">
        <f t="shared" si="15"/>
        <v>417.17284018441444</v>
      </c>
      <c r="X269" s="33">
        <f t="shared" si="16"/>
        <v>696.75573124415735</v>
      </c>
      <c r="Y269" s="33">
        <f t="shared" si="17"/>
        <v>556.96428571428589</v>
      </c>
    </row>
    <row r="283" spans="1:21" ht="20.100000000000001" customHeight="1" x14ac:dyDescent="0.25">
      <c r="A283" s="94" t="s">
        <v>17</v>
      </c>
      <c r="B283" s="94"/>
      <c r="C283" s="94"/>
      <c r="D283" s="94"/>
      <c r="E283" s="94"/>
      <c r="F283" s="94"/>
      <c r="G283" s="94"/>
      <c r="H283" s="94"/>
      <c r="I283" s="94"/>
      <c r="J283" s="94"/>
      <c r="K283" s="94"/>
      <c r="L283" s="94"/>
      <c r="M283" s="94"/>
      <c r="N283" s="94"/>
      <c r="O283" s="94"/>
      <c r="P283" s="94"/>
      <c r="Q283" s="94"/>
      <c r="R283" s="94"/>
    </row>
    <row r="285" spans="1:21" ht="20.100000000000001" customHeight="1" x14ac:dyDescent="0.25">
      <c r="A285" s="41" t="s">
        <v>1</v>
      </c>
      <c r="B285" s="95" t="s">
        <v>2</v>
      </c>
      <c r="C285" s="95"/>
      <c r="D285" s="95"/>
      <c r="E285" s="95"/>
      <c r="F285" s="95"/>
      <c r="L285" s="86" t="s">
        <v>30</v>
      </c>
      <c r="M285" s="86"/>
      <c r="N285" s="86"/>
      <c r="O285" s="86"/>
      <c r="P285" s="86"/>
      <c r="Q285" s="96">
        <v>3</v>
      </c>
      <c r="R285" s="96"/>
      <c r="S285" s="97" t="s">
        <v>32</v>
      </c>
      <c r="T285" s="97"/>
      <c r="U285" s="97"/>
    </row>
    <row r="286" spans="1:21" ht="20.100000000000001" customHeight="1" x14ac:dyDescent="0.25">
      <c r="A286" s="34">
        <v>1</v>
      </c>
      <c r="B286" s="81">
        <f>N205</f>
        <v>450.00000000000017</v>
      </c>
      <c r="C286" s="81"/>
      <c r="D286" s="81"/>
      <c r="E286" s="81"/>
      <c r="F286" s="81"/>
      <c r="G286" s="56">
        <f>A286</f>
        <v>1</v>
      </c>
      <c r="L286" s="86" t="s">
        <v>18</v>
      </c>
      <c r="M286" s="86"/>
      <c r="N286" s="86"/>
      <c r="O286" s="86"/>
      <c r="P286" s="86"/>
      <c r="Q286" s="98" cm="1">
        <f t="array" ref="Q286">_xlfn.IFS(Q285&lt;=5,0.1,AND(Q285&gt;=6,Q285&lt;=10),0.05,AND(Q285&gt;=11,Q285&lt;=50),0.01,Q285&gt;50,0.001)</f>
        <v>0.1</v>
      </c>
      <c r="R286" s="98"/>
    </row>
    <row r="287" spans="1:21" ht="20.100000000000001" customHeight="1" x14ac:dyDescent="0.25">
      <c r="A287" s="39">
        <v>2</v>
      </c>
      <c r="B287" s="83">
        <f>N206</f>
        <v>650.89285714285768</v>
      </c>
      <c r="C287" s="83"/>
      <c r="D287" s="83"/>
      <c r="E287" s="83"/>
      <c r="F287" s="83"/>
      <c r="G287" s="56">
        <f t="shared" ref="G287:G288" si="18">A287</f>
        <v>2</v>
      </c>
      <c r="L287" s="86" t="s">
        <v>19</v>
      </c>
      <c r="M287" s="86"/>
      <c r="N287" s="86"/>
      <c r="O287" s="86"/>
      <c r="P287" s="86"/>
      <c r="Q287" s="92">
        <f>Q285-2</f>
        <v>1</v>
      </c>
      <c r="R287" s="92"/>
    </row>
    <row r="288" spans="1:21" ht="20.100000000000001" customHeight="1" x14ac:dyDescent="0.25">
      <c r="A288" s="39">
        <v>3</v>
      </c>
      <c r="B288" s="83">
        <f>N207</f>
        <v>570</v>
      </c>
      <c r="C288" s="83"/>
      <c r="D288" s="83"/>
      <c r="E288" s="83"/>
      <c r="F288" s="83"/>
      <c r="G288" s="56">
        <f t="shared" si="18"/>
        <v>3</v>
      </c>
      <c r="L288" s="86" t="s">
        <v>16</v>
      </c>
      <c r="M288" s="86"/>
      <c r="N288" s="86"/>
      <c r="O288" s="86"/>
      <c r="P288" s="86"/>
      <c r="Q288" s="93">
        <f>X290</f>
        <v>1.3968022466674204</v>
      </c>
      <c r="R288" s="93"/>
    </row>
    <row r="289" spans="12:24" ht="20.100000000000001" customHeight="1" x14ac:dyDescent="0.25">
      <c r="X289" s="33">
        <f>_xlfn.T.INV.2T(Q286,Q287)</f>
        <v>6.3137515146750438</v>
      </c>
    </row>
    <row r="290" spans="12:24" ht="20.100000000000001" customHeight="1" x14ac:dyDescent="0.25">
      <c r="X290" s="33">
        <f>((((X289^2)*(Q285))-X289^2)/(Q285-2+X289^2))^(1/2)</f>
        <v>1.3968022466674204</v>
      </c>
    </row>
    <row r="291" spans="12:24" ht="20.100000000000001" customHeight="1" x14ac:dyDescent="0.25">
      <c r="L291" s="86" t="s">
        <v>4</v>
      </c>
      <c r="M291" s="86"/>
      <c r="N291" s="86"/>
      <c r="O291" s="86"/>
      <c r="P291" s="86">
        <f>AVERAGE(B286:B288)</f>
        <v>556.96428571428589</v>
      </c>
      <c r="Q291" s="86"/>
      <c r="R291" s="86"/>
    </row>
    <row r="292" spans="12:24" ht="20.100000000000001" customHeight="1" x14ac:dyDescent="0.25">
      <c r="L292" s="86" t="s">
        <v>5</v>
      </c>
      <c r="M292" s="86"/>
      <c r="N292" s="86"/>
      <c r="O292" s="86"/>
      <c r="P292" s="86">
        <f>STDEVA(B286:F288)</f>
        <v>101.07884248426686</v>
      </c>
      <c r="Q292" s="86"/>
      <c r="R292" s="86"/>
    </row>
    <row r="294" spans="12:24" ht="20.100000000000001" customHeight="1" x14ac:dyDescent="0.25">
      <c r="L294" s="86" t="s">
        <v>8</v>
      </c>
      <c r="M294" s="86"/>
      <c r="N294" s="86"/>
      <c r="O294" s="86"/>
      <c r="P294" s="86">
        <f>P291+(Q288*P292)</f>
        <v>698.1514399868521</v>
      </c>
      <c r="Q294" s="86"/>
      <c r="R294" s="86"/>
    </row>
    <row r="295" spans="12:24" ht="20.100000000000001" customHeight="1" x14ac:dyDescent="0.25">
      <c r="L295" s="86" t="s">
        <v>7</v>
      </c>
      <c r="M295" s="86"/>
      <c r="N295" s="86"/>
      <c r="O295" s="86"/>
      <c r="P295" s="86">
        <f>P291-(Q288*P292)</f>
        <v>415.77713144171969</v>
      </c>
      <c r="Q295" s="86"/>
      <c r="R295" s="86"/>
    </row>
    <row r="296" spans="12:24" ht="20.100000000000001" customHeight="1" x14ac:dyDescent="0.25">
      <c r="L296" s="86" t="s">
        <v>10</v>
      </c>
      <c r="M296" s="86"/>
      <c r="N296" s="86"/>
      <c r="O296" s="86"/>
      <c r="P296" s="86">
        <f>MAX(B286:B288)</f>
        <v>650.89285714285768</v>
      </c>
      <c r="Q296" s="86"/>
      <c r="R296" s="86"/>
    </row>
    <row r="297" spans="12:24" ht="20.100000000000001" customHeight="1" x14ac:dyDescent="0.25">
      <c r="L297" s="86" t="s">
        <v>9</v>
      </c>
      <c r="M297" s="86"/>
      <c r="N297" s="86"/>
      <c r="O297" s="86"/>
      <c r="P297" s="86">
        <f>MIN(B286:B288)</f>
        <v>450.00000000000017</v>
      </c>
      <c r="Q297" s="86"/>
      <c r="R297" s="86"/>
    </row>
    <row r="299" spans="12:24" ht="20.100000000000001" customHeight="1" x14ac:dyDescent="0.25">
      <c r="L299" s="86" t="s">
        <v>14</v>
      </c>
      <c r="M299" s="86"/>
      <c r="N299" s="86" t="str">
        <f>IF(P299="Nada a excluir","",X299)</f>
        <v/>
      </c>
      <c r="O299" s="86"/>
      <c r="P299" s="86" t="str" cm="1">
        <f t="array" ref="P299">_xlfn.IFS(AND(OR(P296&gt;P294,P297&lt;P295),(P296-P291)&gt;(P291-P297)),P296,AND(OR(P297&lt;P295,P296&gt;P294),(P291-P297)&gt;(P296-P291)),P297,AND(P296&lt;=P294,P297&gt;=P295),"Nada a excluir")</f>
        <v>Nada a excluir</v>
      </c>
      <c r="Q299" s="86"/>
      <c r="R299" s="86"/>
      <c r="X299" s="33" t="str">
        <f>IFERROR("",VLOOKUP(P299,B286:G288,6,0))</f>
        <v/>
      </c>
    </row>
    <row r="300" spans="12:24" ht="20.100000000000001" customHeight="1" x14ac:dyDescent="0.25">
      <c r="L300" s="83" t="s">
        <v>13</v>
      </c>
      <c r="M300" s="83"/>
      <c r="N300" s="83"/>
      <c r="O300" s="83"/>
      <c r="P300" s="84" t="str">
        <f>IF(P299="Nada a excluir","Encerrar","Continuar")</f>
        <v>Encerrar</v>
      </c>
      <c r="Q300" s="84"/>
      <c r="R300" s="84"/>
    </row>
    <row r="302" spans="12:24" ht="20.100000000000001" customHeight="1" x14ac:dyDescent="0.25">
      <c r="L302" s="86" t="s">
        <v>11</v>
      </c>
      <c r="M302" s="86"/>
      <c r="N302" s="86"/>
      <c r="O302" s="86"/>
      <c r="P302" s="91">
        <f>P292</f>
        <v>101.07884248426686</v>
      </c>
      <c r="Q302" s="91"/>
      <c r="R302" s="91"/>
    </row>
    <row r="303" spans="12:24" ht="20.100000000000001" customHeight="1" x14ac:dyDescent="0.25">
      <c r="L303" s="83" t="s">
        <v>3</v>
      </c>
      <c r="M303" s="83"/>
      <c r="N303" s="83"/>
      <c r="O303" s="83"/>
      <c r="P303" s="89">
        <f>P292/P291</f>
        <v>0.18148173065466311</v>
      </c>
      <c r="Q303" s="89"/>
      <c r="R303" s="89"/>
    </row>
    <row r="305" spans="23:25" ht="20.100000000000001" customHeight="1" x14ac:dyDescent="0.25">
      <c r="W305" s="33" t="s">
        <v>7</v>
      </c>
      <c r="X305" s="33" t="s">
        <v>8</v>
      </c>
      <c r="Y305" s="33" t="s">
        <v>4</v>
      </c>
    </row>
    <row r="306" spans="23:25" ht="20.100000000000001" customHeight="1" x14ac:dyDescent="0.25">
      <c r="W306" s="33">
        <f>$P$295</f>
        <v>415.77713144171969</v>
      </c>
      <c r="X306" s="33">
        <f>$P$294</f>
        <v>698.1514399868521</v>
      </c>
      <c r="Y306" s="33">
        <f>$P$291</f>
        <v>556.96428571428589</v>
      </c>
    </row>
    <row r="307" spans="23:25" ht="20.100000000000001" customHeight="1" x14ac:dyDescent="0.25">
      <c r="W307" s="33">
        <f t="shared" ref="W307:W308" si="19">$P$295</f>
        <v>415.77713144171969</v>
      </c>
      <c r="X307" s="33">
        <f t="shared" ref="X307:X308" si="20">$P$294</f>
        <v>698.1514399868521</v>
      </c>
      <c r="Y307" s="33">
        <f t="shared" ref="Y307:Y308" si="21">$P$291</f>
        <v>556.96428571428589</v>
      </c>
    </row>
    <row r="308" spans="23:25" ht="20.100000000000001" customHeight="1" x14ac:dyDescent="0.25">
      <c r="W308" s="33">
        <f t="shared" si="19"/>
        <v>415.77713144171969</v>
      </c>
      <c r="X308" s="33">
        <f t="shared" si="20"/>
        <v>698.1514399868521</v>
      </c>
      <c r="Y308" s="33">
        <f t="shared" si="21"/>
        <v>556.96428571428589</v>
      </c>
    </row>
    <row r="322" spans="1:27" ht="20.100000000000001" customHeight="1" x14ac:dyDescent="0.25">
      <c r="A322" s="90" t="s">
        <v>20</v>
      </c>
      <c r="B322" s="90"/>
      <c r="C322" s="90"/>
      <c r="D322" s="90"/>
      <c r="E322" s="90"/>
      <c r="F322" s="90"/>
      <c r="G322" s="90" t="s">
        <v>4</v>
      </c>
      <c r="H322" s="90"/>
      <c r="I322" s="90"/>
      <c r="J322" s="90"/>
      <c r="K322" s="90" t="s">
        <v>5</v>
      </c>
      <c r="L322" s="90"/>
      <c r="M322" s="90"/>
      <c r="N322" s="90"/>
      <c r="O322" s="90" t="s">
        <v>3</v>
      </c>
      <c r="P322" s="90"/>
      <c r="Q322" s="90"/>
      <c r="R322" s="90"/>
    </row>
    <row r="323" spans="1:27" ht="20.100000000000001" customHeight="1" x14ac:dyDescent="0.25">
      <c r="A323" s="81" t="s">
        <v>21</v>
      </c>
      <c r="B323" s="81"/>
      <c r="C323" s="81"/>
      <c r="D323" s="81"/>
      <c r="E323" s="81"/>
      <c r="F323" s="81"/>
      <c r="G323" s="86">
        <f>P218</f>
        <v>556.96428571428589</v>
      </c>
      <c r="H323" s="86"/>
      <c r="I323" s="86"/>
      <c r="J323" s="86"/>
      <c r="K323" s="86">
        <f>P227</f>
        <v>101.07884248426686</v>
      </c>
      <c r="L323" s="86"/>
      <c r="M323" s="86"/>
      <c r="N323" s="86"/>
      <c r="O323" s="88">
        <f>P228</f>
        <v>0.18148173065466311</v>
      </c>
      <c r="P323" s="88"/>
      <c r="Q323" s="88"/>
      <c r="R323" s="88"/>
      <c r="X323" s="54">
        <f>O323</f>
        <v>0.18148173065466311</v>
      </c>
      <c r="Y323" s="33" t="str">
        <f>A323</f>
        <v>Intervalo em torno da média</v>
      </c>
      <c r="Z323" s="33">
        <f>G323</f>
        <v>556.96428571428589</v>
      </c>
      <c r="AA323" s="33">
        <f>K323</f>
        <v>101.07884248426686</v>
      </c>
    </row>
    <row r="324" spans="1:27" ht="20.100000000000001" customHeight="1" x14ac:dyDescent="0.25">
      <c r="A324" s="83" t="s">
        <v>22</v>
      </c>
      <c r="B324" s="83"/>
      <c r="C324" s="83"/>
      <c r="D324" s="83"/>
      <c r="E324" s="83"/>
      <c r="F324" s="83"/>
      <c r="G324" s="83">
        <f>P252</f>
        <v>556.96428571428589</v>
      </c>
      <c r="H324" s="83"/>
      <c r="I324" s="83"/>
      <c r="J324" s="83"/>
      <c r="K324" s="83">
        <f>P253</f>
        <v>101.07884248426686</v>
      </c>
      <c r="L324" s="83"/>
      <c r="M324" s="83"/>
      <c r="N324" s="83"/>
      <c r="O324" s="85">
        <f>P264</f>
        <v>0.18148173065466311</v>
      </c>
      <c r="P324" s="85"/>
      <c r="Q324" s="85"/>
      <c r="R324" s="85"/>
      <c r="X324" s="54">
        <f>O324</f>
        <v>0.18148173065466311</v>
      </c>
      <c r="Y324" s="33" t="str">
        <f>A324</f>
        <v>Critério de Chauvenet</v>
      </c>
      <c r="Z324" s="33">
        <f>G324</f>
        <v>556.96428571428589</v>
      </c>
      <c r="AA324" s="33">
        <f>K324</f>
        <v>101.07884248426686</v>
      </c>
    </row>
    <row r="325" spans="1:27" ht="20.100000000000001" customHeight="1" x14ac:dyDescent="0.25">
      <c r="A325" s="83" t="s">
        <v>23</v>
      </c>
      <c r="B325" s="83"/>
      <c r="C325" s="83"/>
      <c r="D325" s="83"/>
      <c r="E325" s="83"/>
      <c r="F325" s="83"/>
      <c r="G325" s="83">
        <f>P291</f>
        <v>556.96428571428589</v>
      </c>
      <c r="H325" s="83"/>
      <c r="I325" s="83"/>
      <c r="J325" s="83"/>
      <c r="K325" s="83">
        <f>P302</f>
        <v>101.07884248426686</v>
      </c>
      <c r="L325" s="83"/>
      <c r="M325" s="83"/>
      <c r="N325" s="83"/>
      <c r="O325" s="85">
        <f>P303</f>
        <v>0.18148173065466311</v>
      </c>
      <c r="P325" s="85"/>
      <c r="Q325" s="85"/>
      <c r="R325" s="85"/>
      <c r="X325" s="54">
        <f>O325</f>
        <v>0.18148173065466311</v>
      </c>
      <c r="Y325" s="33" t="str">
        <f>A325</f>
        <v>Critério de Arley</v>
      </c>
      <c r="Z325" s="33">
        <f>G325</f>
        <v>556.96428571428589</v>
      </c>
      <c r="AA325" s="33">
        <f>K325</f>
        <v>101.07884248426686</v>
      </c>
    </row>
    <row r="327" spans="1:27" ht="20.100000000000001" customHeight="1" x14ac:dyDescent="0.25">
      <c r="A327" s="86" t="s">
        <v>24</v>
      </c>
      <c r="B327" s="86"/>
      <c r="C327" s="86"/>
      <c r="D327" s="86"/>
      <c r="E327" s="86"/>
      <c r="F327" s="86"/>
      <c r="G327" s="87">
        <f>MIN(O323:R325)</f>
        <v>0.18148173065466311</v>
      </c>
      <c r="H327" s="87"/>
      <c r="I327" s="87"/>
      <c r="J327" s="87"/>
      <c r="K327" s="87"/>
      <c r="L327" s="87"/>
    </row>
    <row r="328" spans="1:27" ht="20.100000000000001" customHeight="1" x14ac:dyDescent="0.25">
      <c r="A328" s="83" t="s">
        <v>25</v>
      </c>
      <c r="B328" s="83"/>
      <c r="C328" s="83"/>
      <c r="D328" s="83"/>
      <c r="E328" s="83"/>
      <c r="F328" s="83"/>
      <c r="G328" s="84" t="str">
        <f>VLOOKUP(G327,X323:Z325,2,0)</f>
        <v>Intervalo em torno da média</v>
      </c>
      <c r="H328" s="84"/>
      <c r="I328" s="84"/>
      <c r="J328" s="84"/>
      <c r="K328" s="84"/>
      <c r="L328" s="84"/>
    </row>
    <row r="329" spans="1:27" ht="20.100000000000001" customHeight="1" x14ac:dyDescent="0.25">
      <c r="A329" s="83" t="s">
        <v>26</v>
      </c>
      <c r="B329" s="83"/>
      <c r="C329" s="83"/>
      <c r="D329" s="83"/>
      <c r="E329" s="83"/>
      <c r="F329" s="83"/>
      <c r="G329" s="83">
        <f>VLOOKUP(G327,X323:Z325,3,0)</f>
        <v>556.96428571428589</v>
      </c>
      <c r="H329" s="83"/>
      <c r="I329" s="83"/>
      <c r="J329" s="83"/>
      <c r="K329" s="83"/>
      <c r="L329" s="83"/>
    </row>
    <row r="330" spans="1:27" ht="20.100000000000001" customHeight="1" x14ac:dyDescent="0.25">
      <c r="A330" s="83" t="s">
        <v>27</v>
      </c>
      <c r="B330" s="83"/>
      <c r="C330" s="83"/>
      <c r="D330" s="83"/>
      <c r="E330" s="83"/>
      <c r="F330" s="83"/>
      <c r="G330" s="83">
        <f>VLOOKUP(G327,X323:AA325,4,0)</f>
        <v>101.07884248426686</v>
      </c>
      <c r="H330" s="83"/>
      <c r="I330" s="83"/>
      <c r="J330" s="83"/>
      <c r="K330" s="83"/>
      <c r="L330" s="83"/>
    </row>
    <row r="335" spans="1:27" ht="39.950000000000003" customHeight="1" x14ac:dyDescent="0.25"/>
    <row r="355" spans="23:66" ht="20.100000000000001" customHeight="1" x14ac:dyDescent="0.25">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row>
    <row r="356" spans="23:66" ht="20.100000000000001" customHeight="1" x14ac:dyDescent="0.25">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row>
    <row r="357" spans="23:66" ht="20.100000000000001" customHeight="1" x14ac:dyDescent="0.25">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row>
    <row r="358" spans="23:66" ht="20.100000000000001" customHeight="1" x14ac:dyDescent="0.25">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row>
    <row r="384" spans="23:24" ht="20.100000000000001" customHeight="1" x14ac:dyDescent="0.25">
      <c r="W384" s="33" t="s">
        <v>194</v>
      </c>
      <c r="X384" s="33" t="s">
        <v>195</v>
      </c>
    </row>
    <row r="385" spans="19:27" ht="20.100000000000001" customHeight="1" x14ac:dyDescent="0.25">
      <c r="W385" s="33">
        <f>O346</f>
        <v>0</v>
      </c>
      <c r="X385" s="33">
        <f>(M367-M366)</f>
        <v>0</v>
      </c>
    </row>
    <row r="392" spans="19:27" ht="20.100000000000001" customHeight="1" x14ac:dyDescent="0.25">
      <c r="V392" s="55"/>
    </row>
    <row r="393" spans="19:27" ht="20.100000000000001" customHeight="1" x14ac:dyDescent="0.25">
      <c r="V393" s="55"/>
    </row>
    <row r="395" spans="19:27" ht="20.100000000000001" customHeight="1" x14ac:dyDescent="0.25">
      <c r="AA395" s="55"/>
    </row>
    <row r="396" spans="19:27" ht="20.100000000000001" customHeight="1" x14ac:dyDescent="0.25">
      <c r="AA396" s="55"/>
    </row>
    <row r="398" spans="19:27" ht="20.100000000000001" customHeight="1" x14ac:dyDescent="0.25">
      <c r="S398" s="82" t="str">
        <f>IF(M400&gt;0.01,"Reduzir o número de casas decimais","")</f>
        <v/>
      </c>
      <c r="T398" s="82"/>
    </row>
  </sheetData>
  <mergeCells count="315">
    <mergeCell ref="A6:R6"/>
    <mergeCell ref="A21:R21"/>
    <mergeCell ref="A29:R29"/>
    <mergeCell ref="A48:R48"/>
    <mergeCell ref="A8:R18"/>
    <mergeCell ref="A23:R26"/>
    <mergeCell ref="B33:R40"/>
    <mergeCell ref="A31:R31"/>
    <mergeCell ref="A42:R45"/>
    <mergeCell ref="A50:R53"/>
    <mergeCell ref="A62:B63"/>
    <mergeCell ref="C62:I63"/>
    <mergeCell ref="J62:L62"/>
    <mergeCell ref="M62:O62"/>
    <mergeCell ref="P62:R62"/>
    <mergeCell ref="J63:L63"/>
    <mergeCell ref="M63:O63"/>
    <mergeCell ref="P63:R63"/>
    <mergeCell ref="A56:R56"/>
    <mergeCell ref="A58:R58"/>
    <mergeCell ref="A60:R60"/>
    <mergeCell ref="A61:B61"/>
    <mergeCell ref="C61:I61"/>
    <mergeCell ref="J61:R61"/>
    <mergeCell ref="T68:U68"/>
    <mergeCell ref="B69:D69"/>
    <mergeCell ref="E69:G69"/>
    <mergeCell ref="H69:J69"/>
    <mergeCell ref="K69:M69"/>
    <mergeCell ref="N69:O69"/>
    <mergeCell ref="P69:R69"/>
    <mergeCell ref="A66:R66"/>
    <mergeCell ref="B68:D68"/>
    <mergeCell ref="E68:G68"/>
    <mergeCell ref="H68:J68"/>
    <mergeCell ref="K68:M68"/>
    <mergeCell ref="N68:O68"/>
    <mergeCell ref="P68:R68"/>
    <mergeCell ref="B71:D71"/>
    <mergeCell ref="E71:G71"/>
    <mergeCell ref="H71:J71"/>
    <mergeCell ref="K71:M71"/>
    <mergeCell ref="N71:O71"/>
    <mergeCell ref="P71:R71"/>
    <mergeCell ref="B70:D70"/>
    <mergeCell ref="E70:G70"/>
    <mergeCell ref="H70:J70"/>
    <mergeCell ref="K70:M70"/>
    <mergeCell ref="N70:O70"/>
    <mergeCell ref="P70:R70"/>
    <mergeCell ref="A78:R78"/>
    <mergeCell ref="A80:R80"/>
    <mergeCell ref="A82:G82"/>
    <mergeCell ref="H82:I82"/>
    <mergeCell ref="J82:N82"/>
    <mergeCell ref="O82:R82"/>
    <mergeCell ref="L73:O73"/>
    <mergeCell ref="P73:R73"/>
    <mergeCell ref="L74:O74"/>
    <mergeCell ref="P74:R74"/>
    <mergeCell ref="L75:O75"/>
    <mergeCell ref="P75:R75"/>
    <mergeCell ref="A85:G85"/>
    <mergeCell ref="H85:I85"/>
    <mergeCell ref="J85:N85"/>
    <mergeCell ref="O85:R85"/>
    <mergeCell ref="A86:G86"/>
    <mergeCell ref="H86:I86"/>
    <mergeCell ref="J86:N86"/>
    <mergeCell ref="O86:R86"/>
    <mergeCell ref="A83:G83"/>
    <mergeCell ref="H83:I83"/>
    <mergeCell ref="J83:N83"/>
    <mergeCell ref="O83:R83"/>
    <mergeCell ref="A84:G84"/>
    <mergeCell ref="H84:I84"/>
    <mergeCell ref="J84:N84"/>
    <mergeCell ref="O84:R84"/>
    <mergeCell ref="J92:K92"/>
    <mergeCell ref="B94:D94"/>
    <mergeCell ref="J94:K94"/>
    <mergeCell ref="L94:M94"/>
    <mergeCell ref="N94:O94"/>
    <mergeCell ref="P94:R94"/>
    <mergeCell ref="A87:G87"/>
    <mergeCell ref="H87:I87"/>
    <mergeCell ref="J87:N87"/>
    <mergeCell ref="O87:R87"/>
    <mergeCell ref="A90:D91"/>
    <mergeCell ref="E90:I90"/>
    <mergeCell ref="J90:K91"/>
    <mergeCell ref="B95:D95"/>
    <mergeCell ref="J95:K95"/>
    <mergeCell ref="L95:M95"/>
    <mergeCell ref="N95:O95"/>
    <mergeCell ref="P95:R95"/>
    <mergeCell ref="B96:D96"/>
    <mergeCell ref="J96:K96"/>
    <mergeCell ref="L96:M96"/>
    <mergeCell ref="N96:O96"/>
    <mergeCell ref="P96:R96"/>
    <mergeCell ref="L100:O100"/>
    <mergeCell ref="P100:R100"/>
    <mergeCell ref="L101:O101"/>
    <mergeCell ref="P101:R101"/>
    <mergeCell ref="A104:R104"/>
    <mergeCell ref="A139:R139"/>
    <mergeCell ref="B97:D97"/>
    <mergeCell ref="J97:K97"/>
    <mergeCell ref="L97:M97"/>
    <mergeCell ref="N97:O97"/>
    <mergeCell ref="P97:R97"/>
    <mergeCell ref="L99:O99"/>
    <mergeCell ref="P99:R99"/>
    <mergeCell ref="A180:H180"/>
    <mergeCell ref="J180:L180"/>
    <mergeCell ref="M180:O180"/>
    <mergeCell ref="P180:R180"/>
    <mergeCell ref="A181:H181"/>
    <mergeCell ref="J181:L181"/>
    <mergeCell ref="M181:O181"/>
    <mergeCell ref="P181:R181"/>
    <mergeCell ref="A158:R158"/>
    <mergeCell ref="A177:R177"/>
    <mergeCell ref="A179:H179"/>
    <mergeCell ref="J179:L179"/>
    <mergeCell ref="M179:O179"/>
    <mergeCell ref="P179:R179"/>
    <mergeCell ref="A184:H184"/>
    <mergeCell ref="J184:L184"/>
    <mergeCell ref="M184:O184"/>
    <mergeCell ref="P184:R184"/>
    <mergeCell ref="A185:H185"/>
    <mergeCell ref="J185:L185"/>
    <mergeCell ref="M185:O185"/>
    <mergeCell ref="P185:R185"/>
    <mergeCell ref="A182:H182"/>
    <mergeCell ref="J182:L182"/>
    <mergeCell ref="M182:O182"/>
    <mergeCell ref="P182:R182"/>
    <mergeCell ref="A183:H183"/>
    <mergeCell ref="J183:L183"/>
    <mergeCell ref="M183:O183"/>
    <mergeCell ref="P183:R183"/>
    <mergeCell ref="A189:O190"/>
    <mergeCell ref="P190:R190"/>
    <mergeCell ref="A192:D194"/>
    <mergeCell ref="E192:O192"/>
    <mergeCell ref="P192:R193"/>
    <mergeCell ref="P194:R194"/>
    <mergeCell ref="A186:H186"/>
    <mergeCell ref="J186:L186"/>
    <mergeCell ref="M186:O186"/>
    <mergeCell ref="P186:R186"/>
    <mergeCell ref="A188:I188"/>
    <mergeCell ref="J188:L188"/>
    <mergeCell ref="M188:O188"/>
    <mergeCell ref="B202:D202"/>
    <mergeCell ref="P202:R202"/>
    <mergeCell ref="B204:D204"/>
    <mergeCell ref="E204:G204"/>
    <mergeCell ref="H204:J204"/>
    <mergeCell ref="K204:M204"/>
    <mergeCell ref="N204:R204"/>
    <mergeCell ref="A196:R197"/>
    <mergeCell ref="B199:D199"/>
    <mergeCell ref="P199:R199"/>
    <mergeCell ref="B200:D200"/>
    <mergeCell ref="P200:R200"/>
    <mergeCell ref="B201:D201"/>
    <mergeCell ref="P201:R201"/>
    <mergeCell ref="B207:D207"/>
    <mergeCell ref="E207:G207"/>
    <mergeCell ref="H207:J207"/>
    <mergeCell ref="K207:M207"/>
    <mergeCell ref="N207:R207"/>
    <mergeCell ref="L209:O209"/>
    <mergeCell ref="P209:R209"/>
    <mergeCell ref="B205:D205"/>
    <mergeCell ref="E205:G205"/>
    <mergeCell ref="H205:J205"/>
    <mergeCell ref="K205:M205"/>
    <mergeCell ref="N205:R205"/>
    <mergeCell ref="B206:D206"/>
    <mergeCell ref="E206:G206"/>
    <mergeCell ref="H206:J206"/>
    <mergeCell ref="K206:M206"/>
    <mergeCell ref="N206:R206"/>
    <mergeCell ref="B217:F217"/>
    <mergeCell ref="B218:F218"/>
    <mergeCell ref="L218:O218"/>
    <mergeCell ref="P218:R218"/>
    <mergeCell ref="B219:F219"/>
    <mergeCell ref="L219:O219"/>
    <mergeCell ref="P219:R219"/>
    <mergeCell ref="L210:O210"/>
    <mergeCell ref="P210:R210"/>
    <mergeCell ref="L211:O211"/>
    <mergeCell ref="P211:R211"/>
    <mergeCell ref="A214:R214"/>
    <mergeCell ref="B216:F216"/>
    <mergeCell ref="L216:P216"/>
    <mergeCell ref="Q216:R216"/>
    <mergeCell ref="L223:O223"/>
    <mergeCell ref="P223:R223"/>
    <mergeCell ref="L224:M224"/>
    <mergeCell ref="N224:O224"/>
    <mergeCell ref="P224:R224"/>
    <mergeCell ref="L225:O225"/>
    <mergeCell ref="P225:R225"/>
    <mergeCell ref="L220:O220"/>
    <mergeCell ref="P220:R220"/>
    <mergeCell ref="L221:O221"/>
    <mergeCell ref="P221:R221"/>
    <mergeCell ref="L222:O222"/>
    <mergeCell ref="P222:R222"/>
    <mergeCell ref="S249:U249"/>
    <mergeCell ref="B250:F250"/>
    <mergeCell ref="L250:P250"/>
    <mergeCell ref="Q250:R250"/>
    <mergeCell ref="B251:F251"/>
    <mergeCell ref="B252:F252"/>
    <mergeCell ref="L252:O252"/>
    <mergeCell ref="P252:R252"/>
    <mergeCell ref="L227:O227"/>
    <mergeCell ref="P227:R227"/>
    <mergeCell ref="L228:O228"/>
    <mergeCell ref="P228:R228"/>
    <mergeCell ref="A247:R247"/>
    <mergeCell ref="B249:F249"/>
    <mergeCell ref="L249:P249"/>
    <mergeCell ref="Q249:R249"/>
    <mergeCell ref="L257:O257"/>
    <mergeCell ref="P257:R257"/>
    <mergeCell ref="L258:O258"/>
    <mergeCell ref="P258:R258"/>
    <mergeCell ref="L260:M260"/>
    <mergeCell ref="N260:O260"/>
    <mergeCell ref="P260:R260"/>
    <mergeCell ref="L253:O253"/>
    <mergeCell ref="P253:R253"/>
    <mergeCell ref="L255:O255"/>
    <mergeCell ref="P255:R255"/>
    <mergeCell ref="L256:O256"/>
    <mergeCell ref="P256:R256"/>
    <mergeCell ref="S285:U285"/>
    <mergeCell ref="B286:F286"/>
    <mergeCell ref="L286:P286"/>
    <mergeCell ref="Q286:R286"/>
    <mergeCell ref="L261:O261"/>
    <mergeCell ref="P261:R261"/>
    <mergeCell ref="L263:O263"/>
    <mergeCell ref="P263:R263"/>
    <mergeCell ref="L264:O264"/>
    <mergeCell ref="P264:R264"/>
    <mergeCell ref="B287:F287"/>
    <mergeCell ref="L287:P287"/>
    <mergeCell ref="Q287:R287"/>
    <mergeCell ref="B288:F288"/>
    <mergeCell ref="L288:P288"/>
    <mergeCell ref="Q288:R288"/>
    <mergeCell ref="A283:R283"/>
    <mergeCell ref="B285:F285"/>
    <mergeCell ref="L285:P285"/>
    <mergeCell ref="Q285:R285"/>
    <mergeCell ref="L295:O295"/>
    <mergeCell ref="P295:R295"/>
    <mergeCell ref="L296:O296"/>
    <mergeCell ref="P296:R296"/>
    <mergeCell ref="L297:O297"/>
    <mergeCell ref="P297:R297"/>
    <mergeCell ref="L291:O291"/>
    <mergeCell ref="P291:R291"/>
    <mergeCell ref="L292:O292"/>
    <mergeCell ref="P292:R292"/>
    <mergeCell ref="L294:O294"/>
    <mergeCell ref="P294:R294"/>
    <mergeCell ref="L303:O303"/>
    <mergeCell ref="P303:R303"/>
    <mergeCell ref="A322:F322"/>
    <mergeCell ref="G322:J322"/>
    <mergeCell ref="K322:N322"/>
    <mergeCell ref="O322:R322"/>
    <mergeCell ref="L299:M299"/>
    <mergeCell ref="N299:O299"/>
    <mergeCell ref="P299:R299"/>
    <mergeCell ref="L300:O300"/>
    <mergeCell ref="P300:R300"/>
    <mergeCell ref="L302:O302"/>
    <mergeCell ref="P302:R302"/>
    <mergeCell ref="A325:F325"/>
    <mergeCell ref="G325:J325"/>
    <mergeCell ref="K325:N325"/>
    <mergeCell ref="O325:R325"/>
    <mergeCell ref="A327:F327"/>
    <mergeCell ref="G327:L327"/>
    <mergeCell ref="A323:F323"/>
    <mergeCell ref="G323:J323"/>
    <mergeCell ref="K323:N323"/>
    <mergeCell ref="O323:R323"/>
    <mergeCell ref="A324:F324"/>
    <mergeCell ref="G324:J324"/>
    <mergeCell ref="K324:N324"/>
    <mergeCell ref="O324:R324"/>
    <mergeCell ref="W358:BN358"/>
    <mergeCell ref="W355:BN355"/>
    <mergeCell ref="W356:BN356"/>
    <mergeCell ref="W357:BN357"/>
    <mergeCell ref="S398:T398"/>
    <mergeCell ref="A328:F328"/>
    <mergeCell ref="G328:L328"/>
    <mergeCell ref="A329:F329"/>
    <mergeCell ref="G329:L329"/>
    <mergeCell ref="A330:F330"/>
    <mergeCell ref="G330:L330"/>
  </mergeCells>
  <conditionalFormatting sqref="P225:R225">
    <cfRule type="cellIs" dxfId="8" priority="7" operator="equal">
      <formula>"Encerrar"</formula>
    </cfRule>
    <cfRule type="cellIs" dxfId="7" priority="8" operator="equal">
      <formula>"Continuar"</formula>
    </cfRule>
  </conditionalFormatting>
  <conditionalFormatting sqref="P261:R261">
    <cfRule type="cellIs" dxfId="6" priority="3" operator="equal">
      <formula>"Encerrar"</formula>
    </cfRule>
    <cfRule type="cellIs" dxfId="5" priority="4" operator="equal">
      <formula>"Continuar"</formula>
    </cfRule>
  </conditionalFormatting>
  <conditionalFormatting sqref="P300:R300">
    <cfRule type="cellIs" dxfId="4" priority="1" operator="equal">
      <formula>"Encerrar"</formula>
    </cfRule>
    <cfRule type="cellIs" dxfId="3" priority="2" operator="equal">
      <formula>"Continuar"</formula>
    </cfRule>
  </conditionalFormatting>
  <conditionalFormatting sqref="S398 U398:W398">
    <cfRule type="containsText" dxfId="2" priority="5" operator="containsText" text="Reduzir o número de casas decimais">
      <formula>NOT(ISERROR(SEARCH("Reduzir o número de casas decimais",S398)))</formula>
    </cfRule>
  </conditionalFormatting>
  <dataValidations disablePrompts="1" count="1">
    <dataValidation type="list" allowBlank="1" showInputMessage="1" showErrorMessage="1" sqref="K69:K71" xr:uid="{DAFD88CC-31FA-4497-BA95-BC1F40912CA6}">
      <formula1>$T$70:$T$71</formula1>
    </dataValidation>
  </dataValidations>
  <pageMargins left="0.511811024" right="0.511811024" top="0.78740157499999996" bottom="0.78740157499999996" header="0.31496062000000002" footer="0.31496062000000002"/>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tabColor theme="0" tint="-0.249977111117893"/>
    <pageSetUpPr fitToPage="1"/>
  </sheetPr>
  <dimension ref="A1:T366"/>
  <sheetViews>
    <sheetView zoomScaleNormal="100" workbookViewId="0">
      <selection sqref="A1:H1"/>
    </sheetView>
  </sheetViews>
  <sheetFormatPr defaultColWidth="4.75" defaultRowHeight="20.100000000000001" customHeight="1" x14ac:dyDescent="0.25"/>
  <cols>
    <col min="1" max="8" width="20.625" style="1" customWidth="1"/>
    <col min="9" max="11" width="25.625" style="1" customWidth="1"/>
    <col min="12" max="22" width="20.625" style="1" customWidth="1"/>
    <col min="23" max="118" width="4.75" style="1" customWidth="1"/>
    <col min="119" max="16384" width="4.75" style="1"/>
  </cols>
  <sheetData>
    <row r="1" spans="1:18" ht="20.100000000000001" customHeight="1" x14ac:dyDescent="0.25">
      <c r="A1" s="135" t="s">
        <v>51</v>
      </c>
      <c r="B1" s="135"/>
      <c r="C1" s="135"/>
      <c r="D1" s="135"/>
      <c r="E1" s="135"/>
      <c r="F1" s="135"/>
      <c r="G1" s="135"/>
      <c r="H1" s="135"/>
      <c r="I1" s="15"/>
      <c r="K1" s="2">
        <f>MATCH(B12,'VANTAGEM DA COISA FEITA'!$V$5:$Y$5,0)</f>
        <v>3</v>
      </c>
    </row>
    <row r="2" spans="1:18" ht="20.100000000000001" customHeight="1" x14ac:dyDescent="0.25">
      <c r="A2" s="26"/>
      <c r="B2" s="26"/>
      <c r="C2" s="26"/>
      <c r="D2" s="26"/>
      <c r="E2" s="26"/>
      <c r="F2" s="26"/>
      <c r="G2" s="26"/>
      <c r="H2" s="26"/>
      <c r="K2" s="2">
        <f>MATCH(E13,'VANTAGEM DA COISA FEITA'!$U$6:$U$76,0)</f>
        <v>11</v>
      </c>
    </row>
    <row r="3" spans="1:18" ht="20.100000000000001" customHeight="1" x14ac:dyDescent="0.25">
      <c r="A3" s="59" t="s">
        <v>52</v>
      </c>
      <c r="B3" s="130" t="s">
        <v>59</v>
      </c>
      <c r="C3" s="130"/>
      <c r="D3" s="130"/>
      <c r="E3" s="130"/>
      <c r="F3" s="26"/>
      <c r="G3" s="26"/>
      <c r="H3" s="26"/>
      <c r="K3" s="4" cm="1">
        <f t="array" ref="K3">1+(INDEX('VANTAGEM DA COISA FEITA'!$V$6:$Y$76,'IMÓVEIS DE REFERÊNCIA'!K2,'IMÓVEIS DE REFERÊNCIA'!K1))</f>
        <v>1.0840000000000001</v>
      </c>
      <c r="N3" s="1" t="s">
        <v>107</v>
      </c>
      <c r="O3" s="1" t="s">
        <v>111</v>
      </c>
      <c r="P3" s="1" t="s">
        <v>108</v>
      </c>
      <c r="Q3" s="1" t="s">
        <v>109</v>
      </c>
      <c r="R3" s="1" t="s">
        <v>110</v>
      </c>
    </row>
    <row r="4" spans="1:18" ht="20.100000000000001" customHeight="1" x14ac:dyDescent="0.25">
      <c r="A4" s="26"/>
      <c r="B4" s="26"/>
      <c r="C4" s="26"/>
      <c r="D4" s="26"/>
      <c r="E4" s="26"/>
      <c r="F4" s="26"/>
      <c r="G4" s="26"/>
      <c r="H4" s="26"/>
      <c r="N4" s="1">
        <f>E40</f>
        <v>0.88002777777777785</v>
      </c>
      <c r="O4" s="1">
        <v>1</v>
      </c>
      <c r="P4" s="1">
        <v>1</v>
      </c>
      <c r="Q4" s="1">
        <f>E28</f>
        <v>568.54816529531683</v>
      </c>
      <c r="R4" s="1">
        <f>E42</f>
        <v>646.05706734735031</v>
      </c>
    </row>
    <row r="5" spans="1:18" ht="20.100000000000001" customHeight="1" x14ac:dyDescent="0.25">
      <c r="A5" s="130" t="s">
        <v>57</v>
      </c>
      <c r="B5" s="130"/>
      <c r="C5" s="130"/>
      <c r="D5" s="130"/>
      <c r="E5" s="22">
        <v>280000</v>
      </c>
      <c r="F5" s="26"/>
      <c r="G5" s="26"/>
      <c r="H5" s="26"/>
      <c r="N5" s="1">
        <f>E84</f>
        <v>0.98277777777777775</v>
      </c>
      <c r="O5" s="1">
        <v>1</v>
      </c>
      <c r="P5" s="1">
        <v>1</v>
      </c>
      <c r="Q5" s="1">
        <f>E72</f>
        <v>453.39998437011531</v>
      </c>
      <c r="R5" s="1">
        <f>E86</f>
        <v>461.34537697354864</v>
      </c>
    </row>
    <row r="6" spans="1:18" ht="20.100000000000001" customHeight="1" x14ac:dyDescent="0.25">
      <c r="A6" s="59" t="s">
        <v>97</v>
      </c>
      <c r="B6" s="139" t="s">
        <v>102</v>
      </c>
      <c r="C6" s="139"/>
      <c r="D6" s="59" t="s">
        <v>103</v>
      </c>
      <c r="E6" s="59">
        <f>HLOOKUP(B6,K12:L13,2,0)</f>
        <v>0.9</v>
      </c>
      <c r="F6" s="26"/>
      <c r="G6" s="26"/>
      <c r="H6" s="26"/>
      <c r="N6" s="1">
        <f>E128</f>
        <v>0.75817777777777784</v>
      </c>
      <c r="O6" s="1">
        <v>1</v>
      </c>
      <c r="P6" s="1">
        <v>1</v>
      </c>
      <c r="Q6" s="1">
        <f>E116</f>
        <v>360.81891809078098</v>
      </c>
      <c r="R6" s="1">
        <f>E130</f>
        <v>475.90278779779419</v>
      </c>
    </row>
    <row r="7" spans="1:18" ht="20.100000000000001" customHeight="1" x14ac:dyDescent="0.25">
      <c r="A7" s="133" t="s">
        <v>104</v>
      </c>
      <c r="B7" s="133"/>
      <c r="C7" s="133"/>
      <c r="D7" s="133"/>
      <c r="E7" s="59">
        <f>E5*E6</f>
        <v>252000</v>
      </c>
      <c r="F7" s="26"/>
      <c r="G7" s="26"/>
      <c r="H7" s="26"/>
      <c r="K7" s="13" t="s">
        <v>98</v>
      </c>
      <c r="L7" s="13"/>
    </row>
    <row r="8" spans="1:18" ht="20.100000000000001" customHeight="1" x14ac:dyDescent="0.25">
      <c r="A8" s="26"/>
      <c r="B8" s="61"/>
      <c r="C8" s="61"/>
      <c r="D8" s="26"/>
      <c r="E8" s="26"/>
      <c r="F8" s="26"/>
      <c r="G8" s="26"/>
      <c r="H8" s="26"/>
      <c r="K8" s="5" t="s">
        <v>99</v>
      </c>
      <c r="L8" s="5" t="s">
        <v>100</v>
      </c>
    </row>
    <row r="9" spans="1:18" ht="20.100000000000001" customHeight="1" x14ac:dyDescent="0.25">
      <c r="A9" s="26"/>
      <c r="B9" s="26"/>
      <c r="C9" s="26"/>
      <c r="D9" s="26"/>
      <c r="E9" s="26"/>
      <c r="F9" s="26"/>
      <c r="G9" s="26"/>
      <c r="H9" s="26"/>
      <c r="K9" s="5"/>
      <c r="L9" s="5"/>
    </row>
    <row r="10" spans="1:18" ht="20.100000000000001" customHeight="1" x14ac:dyDescent="0.25">
      <c r="A10" s="131" t="s">
        <v>214</v>
      </c>
      <c r="B10" s="131"/>
      <c r="C10" s="131"/>
      <c r="D10" s="131"/>
      <c r="E10" s="131"/>
      <c r="F10" s="26"/>
      <c r="G10" s="26"/>
      <c r="H10" s="26"/>
      <c r="K10" s="5"/>
      <c r="L10" s="5"/>
    </row>
    <row r="11" spans="1:18" ht="20.100000000000001" customHeight="1" x14ac:dyDescent="0.25">
      <c r="A11" s="26"/>
      <c r="B11" s="26"/>
      <c r="C11" s="26"/>
      <c r="D11" s="26"/>
      <c r="E11" s="26"/>
      <c r="F11" s="26"/>
      <c r="G11" s="26"/>
      <c r="H11" s="26"/>
      <c r="K11" s="5"/>
      <c r="L11" s="5"/>
    </row>
    <row r="12" spans="1:18" ht="20.100000000000001" customHeight="1" x14ac:dyDescent="0.25">
      <c r="A12" s="59" t="s">
        <v>94</v>
      </c>
      <c r="B12" s="134" t="s">
        <v>76</v>
      </c>
      <c r="C12" s="134"/>
      <c r="D12" s="134"/>
      <c r="E12" s="134"/>
      <c r="F12" s="26"/>
      <c r="G12" s="26"/>
      <c r="H12" s="26"/>
      <c r="K12" s="1" t="s">
        <v>101</v>
      </c>
      <c r="L12" s="1" t="s">
        <v>102</v>
      </c>
    </row>
    <row r="13" spans="1:18" ht="20.100000000000001" customHeight="1" x14ac:dyDescent="0.25">
      <c r="A13" s="145" t="s">
        <v>95</v>
      </c>
      <c r="B13" s="145"/>
      <c r="C13" s="59"/>
      <c r="D13" s="59"/>
      <c r="E13" s="23">
        <v>10</v>
      </c>
      <c r="F13" s="26"/>
      <c r="G13" s="26"/>
      <c r="H13" s="26"/>
      <c r="K13" s="1">
        <v>1</v>
      </c>
      <c r="L13" s="1">
        <v>0.9</v>
      </c>
    </row>
    <row r="14" spans="1:18" ht="20.100000000000001" customHeight="1" x14ac:dyDescent="0.25">
      <c r="A14" s="136" t="s">
        <v>96</v>
      </c>
      <c r="B14" s="136"/>
      <c r="C14" s="136"/>
      <c r="D14" s="136"/>
      <c r="E14" s="63">
        <f>K3</f>
        <v>1.0840000000000001</v>
      </c>
      <c r="F14" s="26"/>
      <c r="G14" s="26"/>
      <c r="H14" s="26"/>
    </row>
    <row r="15" spans="1:18" ht="20.100000000000001" customHeight="1" x14ac:dyDescent="0.25">
      <c r="A15" s="26"/>
      <c r="B15" s="26"/>
      <c r="C15" s="26"/>
      <c r="D15" s="26"/>
      <c r="E15" s="26"/>
      <c r="F15" s="26"/>
      <c r="G15" s="26"/>
      <c r="H15" s="26"/>
      <c r="K15" s="14" t="s">
        <v>63</v>
      </c>
      <c r="L15" s="14"/>
      <c r="M15" s="13"/>
    </row>
    <row r="16" spans="1:18" ht="20.100000000000001" customHeight="1" x14ac:dyDescent="0.25">
      <c r="A16" s="130" t="s">
        <v>105</v>
      </c>
      <c r="B16" s="130"/>
      <c r="C16" s="130"/>
      <c r="D16" s="130"/>
      <c r="E16" s="59">
        <f>E7/E14</f>
        <v>232472.32472324721</v>
      </c>
      <c r="F16" s="26"/>
      <c r="G16" s="26"/>
      <c r="H16" s="26"/>
      <c r="K16" s="5" t="s">
        <v>34</v>
      </c>
      <c r="L16" s="5" t="s">
        <v>35</v>
      </c>
      <c r="M16" s="5" t="s">
        <v>64</v>
      </c>
    </row>
    <row r="17" spans="1:18" ht="20.100000000000001" customHeight="1" x14ac:dyDescent="0.25">
      <c r="A17" s="64"/>
      <c r="B17" s="64"/>
      <c r="C17" s="26"/>
      <c r="D17" s="26"/>
      <c r="E17" s="65"/>
      <c r="F17" s="26"/>
      <c r="G17" s="26"/>
      <c r="H17" s="26"/>
      <c r="K17" s="5" t="s">
        <v>36</v>
      </c>
      <c r="L17" s="1">
        <v>0</v>
      </c>
      <c r="M17" s="1" t="s">
        <v>33</v>
      </c>
    </row>
    <row r="18" spans="1:18" ht="20.100000000000001" customHeight="1" x14ac:dyDescent="0.25">
      <c r="A18" s="64"/>
      <c r="B18" s="64"/>
      <c r="C18" s="26"/>
      <c r="D18" s="26"/>
      <c r="E18" s="65"/>
      <c r="F18" s="26"/>
      <c r="G18" s="26"/>
      <c r="H18" s="26"/>
      <c r="K18" s="5"/>
    </row>
    <row r="19" spans="1:18" ht="20.100000000000001" customHeight="1" x14ac:dyDescent="0.25">
      <c r="A19" s="131" t="s">
        <v>196</v>
      </c>
      <c r="B19" s="131"/>
      <c r="C19" s="131"/>
      <c r="D19" s="131"/>
      <c r="E19" s="131"/>
      <c r="F19" s="26"/>
      <c r="G19" s="26"/>
      <c r="H19" s="26"/>
      <c r="K19" s="5"/>
    </row>
    <row r="20" spans="1:18" ht="20.100000000000001" customHeight="1" x14ac:dyDescent="0.25">
      <c r="A20" s="26"/>
      <c r="B20" s="26"/>
      <c r="C20" s="26"/>
      <c r="D20" s="26"/>
      <c r="E20" s="26"/>
      <c r="F20" s="26"/>
      <c r="G20" s="26"/>
      <c r="H20" s="26"/>
      <c r="K20" s="5" t="s">
        <v>37</v>
      </c>
      <c r="L20" s="1">
        <v>0.32</v>
      </c>
      <c r="M20" s="1" t="s">
        <v>38</v>
      </c>
    </row>
    <row r="21" spans="1:18" ht="20.100000000000001" customHeight="1" x14ac:dyDescent="0.25">
      <c r="A21" s="59" t="s">
        <v>53</v>
      </c>
      <c r="B21" s="66">
        <v>300</v>
      </c>
      <c r="C21" s="66"/>
      <c r="D21" s="59" t="s">
        <v>55</v>
      </c>
      <c r="E21" s="59">
        <f>B21*'AVALIAÇÃO DO TERRENO'!G329</f>
        <v>167089.28571428577</v>
      </c>
      <c r="F21" s="26"/>
      <c r="G21" s="26"/>
      <c r="H21" s="26"/>
      <c r="K21" s="5" t="s">
        <v>39</v>
      </c>
      <c r="L21" s="1">
        <v>2.52</v>
      </c>
      <c r="M21" s="1" t="s">
        <v>0</v>
      </c>
    </row>
    <row r="22" spans="1:18" ht="20.100000000000001" customHeight="1" x14ac:dyDescent="0.25">
      <c r="A22" s="26"/>
      <c r="B22" s="26"/>
      <c r="C22" s="26"/>
      <c r="D22" s="26"/>
      <c r="E22" s="26"/>
      <c r="F22" s="26"/>
      <c r="G22" s="26"/>
      <c r="H22" s="26"/>
      <c r="K22" s="5" t="s">
        <v>40</v>
      </c>
      <c r="L22" s="1">
        <v>8.09</v>
      </c>
      <c r="M22" s="1" t="s">
        <v>41</v>
      </c>
    </row>
    <row r="23" spans="1:18" ht="20.100000000000001" customHeight="1" x14ac:dyDescent="0.25">
      <c r="A23" s="26"/>
      <c r="B23" s="26"/>
      <c r="C23" s="26"/>
      <c r="D23" s="26"/>
      <c r="E23" s="26"/>
      <c r="F23" s="26"/>
      <c r="G23" s="26"/>
      <c r="H23" s="26"/>
      <c r="K23" s="5"/>
    </row>
    <row r="24" spans="1:18" ht="20.100000000000001" customHeight="1" x14ac:dyDescent="0.25">
      <c r="A24" s="131" t="s">
        <v>212</v>
      </c>
      <c r="B24" s="131"/>
      <c r="C24" s="131"/>
      <c r="D24" s="131"/>
      <c r="E24" s="131"/>
      <c r="F24" s="26"/>
      <c r="G24" s="26"/>
      <c r="H24" s="26"/>
      <c r="K24" s="5"/>
    </row>
    <row r="25" spans="1:18" ht="20.100000000000001" customHeight="1" x14ac:dyDescent="0.25">
      <c r="A25" s="26"/>
      <c r="B25" s="26"/>
      <c r="C25" s="26"/>
      <c r="D25" s="26"/>
      <c r="E25" s="26"/>
      <c r="F25" s="26"/>
      <c r="G25" s="26"/>
      <c r="H25" s="26"/>
      <c r="K25" s="5"/>
    </row>
    <row r="26" spans="1:18" ht="20.100000000000001" customHeight="1" x14ac:dyDescent="0.25">
      <c r="A26" s="59" t="s">
        <v>54</v>
      </c>
      <c r="B26" s="22">
        <v>115</v>
      </c>
      <c r="C26" s="59"/>
      <c r="D26" s="59" t="s">
        <v>56</v>
      </c>
      <c r="E26" s="59">
        <f>E16-E21</f>
        <v>65383.039008961438</v>
      </c>
      <c r="F26" s="26"/>
      <c r="G26" s="26"/>
      <c r="H26" s="26"/>
      <c r="K26" s="5" t="s">
        <v>42</v>
      </c>
      <c r="L26" s="1">
        <v>18.100000000000001</v>
      </c>
      <c r="M26" s="1" t="s">
        <v>43</v>
      </c>
      <c r="Q26" s="3"/>
      <c r="R26" s="3"/>
    </row>
    <row r="27" spans="1:18" ht="20.100000000000001" customHeight="1" x14ac:dyDescent="0.25">
      <c r="A27" s="26"/>
      <c r="B27" s="26"/>
      <c r="C27" s="26"/>
      <c r="D27" s="26"/>
      <c r="E27" s="26"/>
      <c r="F27" s="26"/>
      <c r="G27" s="26"/>
      <c r="H27" s="26"/>
      <c r="K27" s="5" t="s">
        <v>44</v>
      </c>
      <c r="L27" s="1">
        <v>33.200000000000003</v>
      </c>
      <c r="M27" s="1" t="s">
        <v>65</v>
      </c>
    </row>
    <row r="28" spans="1:18" ht="20.100000000000001" customHeight="1" x14ac:dyDescent="0.25">
      <c r="A28" s="130" t="s">
        <v>58</v>
      </c>
      <c r="B28" s="130"/>
      <c r="C28" s="130"/>
      <c r="D28" s="130"/>
      <c r="E28" s="59">
        <f>E26/B26</f>
        <v>568.54816529531683</v>
      </c>
      <c r="F28" s="26"/>
      <c r="G28" s="26"/>
      <c r="H28" s="26"/>
      <c r="K28" s="5" t="s">
        <v>45</v>
      </c>
      <c r="L28" s="1">
        <v>52.6</v>
      </c>
      <c r="M28" s="1" t="s">
        <v>46</v>
      </c>
    </row>
    <row r="29" spans="1:18" ht="20.100000000000001" customHeight="1" x14ac:dyDescent="0.25">
      <c r="A29" s="26"/>
      <c r="B29" s="26"/>
      <c r="C29" s="26"/>
      <c r="D29" s="26"/>
      <c r="E29" s="26"/>
      <c r="F29" s="26"/>
      <c r="G29" s="26"/>
      <c r="H29" s="26"/>
      <c r="K29" s="5" t="s">
        <v>47</v>
      </c>
      <c r="L29" s="1">
        <v>75.2</v>
      </c>
      <c r="M29" s="1" t="s">
        <v>48</v>
      </c>
    </row>
    <row r="30" spans="1:18" ht="20.100000000000001" customHeight="1" x14ac:dyDescent="0.25">
      <c r="A30" s="26"/>
      <c r="B30" s="26"/>
      <c r="C30" s="26"/>
      <c r="D30" s="26"/>
      <c r="E30" s="26"/>
      <c r="F30" s="26"/>
      <c r="G30" s="26"/>
      <c r="H30" s="26"/>
      <c r="K30" s="5"/>
    </row>
    <row r="31" spans="1:18" ht="20.100000000000001" customHeight="1" x14ac:dyDescent="0.25">
      <c r="A31" s="131" t="s">
        <v>215</v>
      </c>
      <c r="B31" s="131"/>
      <c r="C31" s="131"/>
      <c r="D31" s="131"/>
      <c r="E31" s="131"/>
      <c r="F31" s="26"/>
      <c r="G31" s="26"/>
      <c r="H31" s="26"/>
      <c r="K31" s="5"/>
    </row>
    <row r="32" spans="1:18" ht="20.100000000000001" customHeight="1" x14ac:dyDescent="0.25">
      <c r="A32" s="26"/>
      <c r="B32" s="26"/>
      <c r="C32" s="26"/>
      <c r="D32" s="26"/>
      <c r="E32" s="26"/>
      <c r="F32" s="26"/>
      <c r="G32" s="26"/>
      <c r="H32" s="26"/>
      <c r="K32" s="5"/>
    </row>
    <row r="33" spans="1:13" ht="20.100000000000001" customHeight="1" x14ac:dyDescent="0.25">
      <c r="A33" s="130" t="s">
        <v>60</v>
      </c>
      <c r="B33" s="130"/>
      <c r="C33" s="130"/>
      <c r="D33" s="130"/>
      <c r="E33" s="23">
        <f>E13</f>
        <v>10</v>
      </c>
      <c r="F33" s="26"/>
      <c r="G33" s="26"/>
      <c r="H33" s="26"/>
      <c r="K33" s="5" t="s">
        <v>28</v>
      </c>
      <c r="L33" s="1">
        <v>100</v>
      </c>
      <c r="M33" s="1" t="s">
        <v>49</v>
      </c>
    </row>
    <row r="34" spans="1:13" ht="20.100000000000001" customHeight="1" x14ac:dyDescent="0.25">
      <c r="A34" s="130" t="s">
        <v>50</v>
      </c>
      <c r="B34" s="130"/>
      <c r="C34" s="130"/>
      <c r="D34" s="130"/>
      <c r="E34" s="23">
        <v>60</v>
      </c>
      <c r="F34" s="26"/>
      <c r="G34" s="26"/>
      <c r="H34" s="26"/>
    </row>
    <row r="35" spans="1:13" ht="20.100000000000001" customHeight="1" x14ac:dyDescent="0.25">
      <c r="A35" s="130" t="s">
        <v>66</v>
      </c>
      <c r="B35" s="130"/>
      <c r="C35" s="130"/>
      <c r="D35" s="130"/>
      <c r="E35" s="67">
        <f>E33/E34</f>
        <v>0.16666666666666666</v>
      </c>
      <c r="F35" s="26"/>
      <c r="G35" s="26"/>
      <c r="H35" s="26"/>
    </row>
    <row r="36" spans="1:13" ht="20.100000000000001" customHeight="1" x14ac:dyDescent="0.25">
      <c r="A36" s="130" t="s">
        <v>112</v>
      </c>
      <c r="B36" s="130"/>
      <c r="C36" s="130"/>
      <c r="D36" s="130"/>
      <c r="E36" s="68">
        <f>1/2*(E35+(E35^2))</f>
        <v>9.722222222222221E-2</v>
      </c>
      <c r="F36" s="26"/>
      <c r="G36" s="26"/>
      <c r="H36" s="26"/>
    </row>
    <row r="37" spans="1:13" ht="20.100000000000001" customHeight="1" x14ac:dyDescent="0.25">
      <c r="A37" s="130" t="s">
        <v>61</v>
      </c>
      <c r="B37" s="130"/>
      <c r="C37" s="130"/>
      <c r="D37" s="130"/>
      <c r="E37" s="25" t="s">
        <v>39</v>
      </c>
      <c r="F37" s="26"/>
      <c r="G37" s="26"/>
      <c r="H37" s="26"/>
    </row>
    <row r="38" spans="1:13" ht="20.100000000000001" customHeight="1" x14ac:dyDescent="0.25">
      <c r="A38" s="59" t="s">
        <v>29</v>
      </c>
      <c r="B38" s="132" t="str">
        <f>VLOOKUP(E37,$K$17:$M$33,3,0)</f>
        <v>Regular</v>
      </c>
      <c r="C38" s="132"/>
      <c r="D38" s="132"/>
      <c r="E38" s="132"/>
      <c r="F38" s="26"/>
      <c r="G38" s="26"/>
      <c r="H38" s="26"/>
    </row>
    <row r="39" spans="1:13" ht="20.100000000000001" customHeight="1" x14ac:dyDescent="0.25">
      <c r="A39" s="130" t="s">
        <v>62</v>
      </c>
      <c r="B39" s="130"/>
      <c r="C39" s="130"/>
      <c r="D39" s="130"/>
      <c r="E39" s="59">
        <f>VLOOKUP(E37,$K$17:$M$33,2,0)</f>
        <v>2.52</v>
      </c>
      <c r="F39" s="26"/>
      <c r="G39" s="26"/>
      <c r="H39" s="26"/>
    </row>
    <row r="40" spans="1:13" ht="20.100000000000001" customHeight="1" x14ac:dyDescent="0.25">
      <c r="A40" s="133" t="s">
        <v>67</v>
      </c>
      <c r="B40" s="133"/>
      <c r="C40" s="133"/>
      <c r="D40" s="133"/>
      <c r="E40" s="69">
        <f>1-(E36+((1-E36)*(E39/100)))</f>
        <v>0.88002777777777785</v>
      </c>
      <c r="F40" s="26"/>
      <c r="G40" s="26"/>
      <c r="H40" s="26"/>
    </row>
    <row r="41" spans="1:13" ht="20.100000000000001" customHeight="1" x14ac:dyDescent="0.25">
      <c r="A41" s="26"/>
      <c r="B41" s="26"/>
      <c r="C41" s="26"/>
      <c r="D41" s="26"/>
      <c r="E41" s="26"/>
      <c r="F41" s="26"/>
      <c r="G41" s="26"/>
      <c r="H41" s="26"/>
    </row>
    <row r="42" spans="1:13" ht="20.100000000000001" customHeight="1" x14ac:dyDescent="0.25">
      <c r="A42" s="130" t="s">
        <v>68</v>
      </c>
      <c r="B42" s="130"/>
      <c r="C42" s="130"/>
      <c r="D42" s="130"/>
      <c r="E42" s="59">
        <f>E28/E40</f>
        <v>646.05706734735031</v>
      </c>
      <c r="F42" s="26"/>
      <c r="G42" s="26"/>
      <c r="H42" s="26"/>
    </row>
    <row r="43" spans="1:13" ht="20.100000000000001" customHeight="1" x14ac:dyDescent="0.25">
      <c r="A43" s="26"/>
      <c r="B43" s="26"/>
      <c r="C43" s="26"/>
      <c r="D43" s="26"/>
      <c r="E43" s="26"/>
      <c r="F43" s="26"/>
      <c r="G43" s="26"/>
      <c r="H43" s="26"/>
    </row>
    <row r="44" spans="1:13" ht="20.100000000000001" customHeight="1" x14ac:dyDescent="0.25">
      <c r="A44" s="26"/>
      <c r="B44" s="26"/>
      <c r="C44" s="26"/>
      <c r="D44" s="26"/>
      <c r="E44" s="26"/>
      <c r="F44" s="26"/>
      <c r="G44" s="26"/>
      <c r="H44" s="26"/>
    </row>
    <row r="45" spans="1:13" ht="20.100000000000001" customHeight="1" x14ac:dyDescent="0.25">
      <c r="A45" s="135" t="s">
        <v>69</v>
      </c>
      <c r="B45" s="135"/>
      <c r="C45" s="135"/>
      <c r="D45" s="135"/>
      <c r="E45" s="135"/>
      <c r="F45" s="135"/>
      <c r="G45" s="135"/>
      <c r="H45" s="135"/>
      <c r="I45" s="15"/>
      <c r="K45" s="2">
        <f>MATCH(B56,'VANTAGEM DA COISA FEITA'!$V$5:$Y$5,0)</f>
        <v>3</v>
      </c>
    </row>
    <row r="46" spans="1:13" ht="20.100000000000001" customHeight="1" x14ac:dyDescent="0.25">
      <c r="A46" s="26"/>
      <c r="B46" s="26"/>
      <c r="C46" s="26"/>
      <c r="D46" s="26"/>
      <c r="E46" s="26"/>
      <c r="F46" s="26"/>
      <c r="G46" s="26"/>
      <c r="H46" s="26"/>
      <c r="K46" s="2">
        <f>MATCH(E57,'VANTAGEM DA COISA FEITA'!$U$6:$U$76,0)</f>
        <v>3</v>
      </c>
    </row>
    <row r="47" spans="1:13" ht="20.100000000000001" customHeight="1" x14ac:dyDescent="0.25">
      <c r="A47" s="59" t="s">
        <v>52</v>
      </c>
      <c r="B47" s="130" t="s">
        <v>59</v>
      </c>
      <c r="C47" s="130"/>
      <c r="D47" s="130"/>
      <c r="E47" s="130"/>
      <c r="F47" s="26"/>
      <c r="G47" s="26"/>
      <c r="H47" s="26"/>
      <c r="K47" s="4" cm="1">
        <f t="array" ref="K47">1+(INDEX('VANTAGEM DA COISA FEITA'!$V$6:$Y$76,'IMÓVEIS DE REFERÊNCIA'!K46,'IMÓVEIS DE REFERÊNCIA'!K45))</f>
        <v>1.0968</v>
      </c>
    </row>
    <row r="48" spans="1:13" ht="20.100000000000001" customHeight="1" x14ac:dyDescent="0.25">
      <c r="A48" s="26"/>
      <c r="B48" s="26"/>
      <c r="C48" s="26"/>
      <c r="D48" s="26"/>
      <c r="E48" s="26"/>
      <c r="F48" s="26"/>
      <c r="G48" s="26"/>
      <c r="H48" s="26"/>
    </row>
    <row r="49" spans="1:8" ht="20.100000000000001" customHeight="1" x14ac:dyDescent="0.25">
      <c r="A49" s="130" t="s">
        <v>57</v>
      </c>
      <c r="B49" s="130"/>
      <c r="C49" s="130"/>
      <c r="D49" s="130"/>
      <c r="E49" s="22">
        <v>215000</v>
      </c>
      <c r="F49" s="26"/>
      <c r="G49" s="26"/>
      <c r="H49" s="26"/>
    </row>
    <row r="50" spans="1:8" ht="20.100000000000001" customHeight="1" x14ac:dyDescent="0.25">
      <c r="A50" s="59" t="s">
        <v>97</v>
      </c>
      <c r="B50" s="139" t="s">
        <v>102</v>
      </c>
      <c r="C50" s="139"/>
      <c r="D50" s="59" t="s">
        <v>103</v>
      </c>
      <c r="E50" s="59">
        <f>HLOOKUP(B50,$K$12:$L$13,2,0)</f>
        <v>0.9</v>
      </c>
      <c r="F50" s="26"/>
      <c r="G50" s="26"/>
      <c r="H50" s="26"/>
    </row>
    <row r="51" spans="1:8" ht="20.100000000000001" customHeight="1" x14ac:dyDescent="0.25">
      <c r="A51" s="133" t="s">
        <v>104</v>
      </c>
      <c r="B51" s="133"/>
      <c r="C51" s="133"/>
      <c r="D51" s="133"/>
      <c r="E51" s="59">
        <f>E49*E50</f>
        <v>193500</v>
      </c>
      <c r="F51" s="26"/>
      <c r="G51" s="26"/>
      <c r="H51" s="26"/>
    </row>
    <row r="52" spans="1:8" ht="20.100000000000001" customHeight="1" x14ac:dyDescent="0.25">
      <c r="A52" s="26"/>
      <c r="B52" s="61"/>
      <c r="C52" s="61"/>
      <c r="D52" s="26"/>
      <c r="E52" s="26"/>
      <c r="F52" s="26"/>
      <c r="G52" s="26"/>
      <c r="H52" s="26"/>
    </row>
    <row r="53" spans="1:8" ht="20.100000000000001" customHeight="1" x14ac:dyDescent="0.25">
      <c r="A53" s="26"/>
      <c r="B53" s="26"/>
      <c r="C53" s="26"/>
      <c r="D53" s="26"/>
      <c r="E53" s="26"/>
      <c r="F53" s="26"/>
      <c r="G53" s="26"/>
      <c r="H53" s="26"/>
    </row>
    <row r="54" spans="1:8" ht="20.100000000000001" customHeight="1" x14ac:dyDescent="0.25">
      <c r="A54" s="131" t="s">
        <v>214</v>
      </c>
      <c r="B54" s="131"/>
      <c r="C54" s="131"/>
      <c r="D54" s="131"/>
      <c r="E54" s="131"/>
      <c r="F54" s="26"/>
      <c r="G54" s="26"/>
      <c r="H54" s="26"/>
    </row>
    <row r="55" spans="1:8" ht="20.100000000000001" customHeight="1" x14ac:dyDescent="0.25">
      <c r="A55" s="26"/>
      <c r="B55" s="26"/>
      <c r="C55" s="26"/>
      <c r="D55" s="26"/>
      <c r="E55" s="26"/>
      <c r="F55" s="26"/>
      <c r="G55" s="26"/>
      <c r="H55" s="26"/>
    </row>
    <row r="56" spans="1:8" ht="20.100000000000001" customHeight="1" x14ac:dyDescent="0.25">
      <c r="A56" s="59" t="s">
        <v>94</v>
      </c>
      <c r="B56" s="134" t="s">
        <v>76</v>
      </c>
      <c r="C56" s="134"/>
      <c r="D56" s="134"/>
      <c r="E56" s="134"/>
      <c r="F56" s="26"/>
      <c r="G56" s="26"/>
      <c r="H56" s="26"/>
    </row>
    <row r="57" spans="1:8" ht="20.100000000000001" customHeight="1" x14ac:dyDescent="0.25">
      <c r="A57" s="145" t="s">
        <v>95</v>
      </c>
      <c r="B57" s="145"/>
      <c r="C57" s="59"/>
      <c r="D57" s="59"/>
      <c r="E57" s="23">
        <v>2</v>
      </c>
      <c r="F57" s="26"/>
      <c r="G57" s="26"/>
      <c r="H57" s="26"/>
    </row>
    <row r="58" spans="1:8" ht="20.100000000000001" customHeight="1" x14ac:dyDescent="0.25">
      <c r="A58" s="136" t="s">
        <v>96</v>
      </c>
      <c r="B58" s="136"/>
      <c r="C58" s="136"/>
      <c r="D58" s="136"/>
      <c r="E58" s="63">
        <f>K47</f>
        <v>1.0968</v>
      </c>
      <c r="F58" s="26"/>
      <c r="G58" s="26"/>
      <c r="H58" s="26"/>
    </row>
    <row r="59" spans="1:8" ht="20.100000000000001" customHeight="1" x14ac:dyDescent="0.25">
      <c r="A59" s="26"/>
      <c r="B59" s="26"/>
      <c r="C59" s="26"/>
      <c r="D59" s="26"/>
      <c r="E59" s="26"/>
      <c r="F59" s="26"/>
      <c r="G59" s="26"/>
      <c r="H59" s="26"/>
    </row>
    <row r="60" spans="1:8" ht="20.100000000000001" customHeight="1" x14ac:dyDescent="0.25">
      <c r="A60" s="130" t="s">
        <v>105</v>
      </c>
      <c r="B60" s="130"/>
      <c r="C60" s="130"/>
      <c r="D60" s="130"/>
      <c r="E60" s="59">
        <f>E51/E58</f>
        <v>176422.31947483588</v>
      </c>
      <c r="F60" s="26"/>
      <c r="G60" s="26"/>
      <c r="H60" s="26"/>
    </row>
    <row r="61" spans="1:8" ht="20.100000000000001" customHeight="1" x14ac:dyDescent="0.25">
      <c r="A61" s="64"/>
      <c r="B61" s="64"/>
      <c r="C61" s="26"/>
      <c r="D61" s="26"/>
      <c r="E61" s="65"/>
      <c r="F61" s="26"/>
      <c r="G61" s="26"/>
      <c r="H61" s="26"/>
    </row>
    <row r="62" spans="1:8" ht="20.100000000000001" customHeight="1" x14ac:dyDescent="0.25">
      <c r="A62" s="64"/>
      <c r="B62" s="64"/>
      <c r="C62" s="26"/>
      <c r="D62" s="26"/>
      <c r="E62" s="65"/>
      <c r="F62" s="26"/>
      <c r="G62" s="26"/>
      <c r="H62" s="26"/>
    </row>
    <row r="63" spans="1:8" ht="20.100000000000001" customHeight="1" x14ac:dyDescent="0.25">
      <c r="A63" s="131" t="s">
        <v>196</v>
      </c>
      <c r="B63" s="131"/>
      <c r="C63" s="131"/>
      <c r="D63" s="131"/>
      <c r="E63" s="131"/>
      <c r="F63" s="26"/>
      <c r="G63" s="26"/>
      <c r="H63" s="26"/>
    </row>
    <row r="64" spans="1:8" ht="20.100000000000001" customHeight="1" x14ac:dyDescent="0.25">
      <c r="A64" s="26"/>
      <c r="B64" s="26"/>
      <c r="C64" s="26"/>
      <c r="D64" s="26"/>
      <c r="E64" s="26"/>
      <c r="F64" s="26"/>
      <c r="G64" s="26"/>
      <c r="H64" s="26"/>
    </row>
    <row r="65" spans="1:8" ht="20.100000000000001" customHeight="1" x14ac:dyDescent="0.25">
      <c r="A65" s="59" t="s">
        <v>53</v>
      </c>
      <c r="B65" s="66">
        <v>215</v>
      </c>
      <c r="C65" s="66"/>
      <c r="D65" s="59" t="s">
        <v>55</v>
      </c>
      <c r="E65" s="59">
        <f>B65*'AVALIAÇÃO DO TERRENO'!$G$329</f>
        <v>119747.32142857146</v>
      </c>
      <c r="F65" s="26"/>
      <c r="G65" s="26"/>
      <c r="H65" s="26"/>
    </row>
    <row r="66" spans="1:8" ht="20.100000000000001" customHeight="1" x14ac:dyDescent="0.25">
      <c r="A66" s="26"/>
      <c r="B66" s="26"/>
      <c r="C66" s="26"/>
      <c r="D66" s="26"/>
      <c r="E66" s="26"/>
      <c r="F66" s="26"/>
      <c r="G66" s="26"/>
      <c r="H66" s="26"/>
    </row>
    <row r="67" spans="1:8" ht="20.100000000000001" customHeight="1" x14ac:dyDescent="0.25">
      <c r="A67" s="26"/>
      <c r="B67" s="26"/>
      <c r="C67" s="26"/>
      <c r="D67" s="26"/>
      <c r="E67" s="26"/>
      <c r="F67" s="26"/>
      <c r="G67" s="26"/>
      <c r="H67" s="26"/>
    </row>
    <row r="68" spans="1:8" ht="20.100000000000001" customHeight="1" x14ac:dyDescent="0.25">
      <c r="A68" s="131" t="s">
        <v>212</v>
      </c>
      <c r="B68" s="131"/>
      <c r="C68" s="131"/>
      <c r="D68" s="131"/>
      <c r="E68" s="131"/>
      <c r="F68" s="26"/>
      <c r="G68" s="26"/>
      <c r="H68" s="26"/>
    </row>
    <row r="69" spans="1:8" ht="20.100000000000001" customHeight="1" x14ac:dyDescent="0.25">
      <c r="A69" s="26"/>
      <c r="B69" s="26"/>
      <c r="C69" s="26"/>
      <c r="D69" s="26"/>
      <c r="E69" s="26"/>
      <c r="F69" s="26"/>
      <c r="G69" s="26"/>
      <c r="H69" s="26"/>
    </row>
    <row r="70" spans="1:8" ht="20.100000000000001" customHeight="1" x14ac:dyDescent="0.25">
      <c r="A70" s="59" t="s">
        <v>54</v>
      </c>
      <c r="B70" s="22">
        <v>125</v>
      </c>
      <c r="C70" s="59"/>
      <c r="D70" s="59" t="s">
        <v>56</v>
      </c>
      <c r="E70" s="59">
        <f>E60-E65</f>
        <v>56674.998046264416</v>
      </c>
      <c r="F70" s="26"/>
      <c r="G70" s="26"/>
      <c r="H70" s="26"/>
    </row>
    <row r="71" spans="1:8" ht="20.100000000000001" customHeight="1" x14ac:dyDescent="0.25">
      <c r="A71" s="26"/>
      <c r="B71" s="26"/>
      <c r="C71" s="26"/>
      <c r="D71" s="26"/>
      <c r="E71" s="26"/>
      <c r="F71" s="26"/>
      <c r="G71" s="26"/>
      <c r="H71" s="26"/>
    </row>
    <row r="72" spans="1:8" ht="20.100000000000001" customHeight="1" x14ac:dyDescent="0.25">
      <c r="A72" s="130" t="s">
        <v>58</v>
      </c>
      <c r="B72" s="130"/>
      <c r="C72" s="130"/>
      <c r="D72" s="130"/>
      <c r="E72" s="59">
        <f>E70/B70</f>
        <v>453.39998437011531</v>
      </c>
      <c r="F72" s="26"/>
      <c r="G72" s="26"/>
      <c r="H72" s="26"/>
    </row>
    <row r="73" spans="1:8" ht="20.100000000000001" customHeight="1" x14ac:dyDescent="0.25">
      <c r="A73" s="26"/>
      <c r="B73" s="26"/>
      <c r="C73" s="26"/>
      <c r="D73" s="26"/>
      <c r="E73" s="26"/>
      <c r="F73" s="26"/>
      <c r="G73" s="26"/>
      <c r="H73" s="26"/>
    </row>
    <row r="74" spans="1:8" ht="20.100000000000001" customHeight="1" x14ac:dyDescent="0.25">
      <c r="A74" s="26"/>
      <c r="B74" s="26"/>
      <c r="C74" s="26"/>
      <c r="D74" s="26"/>
      <c r="E74" s="26"/>
      <c r="F74" s="26"/>
      <c r="G74" s="26"/>
      <c r="H74" s="26"/>
    </row>
    <row r="75" spans="1:8" ht="20.100000000000001" customHeight="1" x14ac:dyDescent="0.25">
      <c r="A75" s="131" t="s">
        <v>215</v>
      </c>
      <c r="B75" s="131"/>
      <c r="C75" s="131"/>
      <c r="D75" s="131"/>
      <c r="E75" s="131"/>
      <c r="F75" s="26"/>
      <c r="G75" s="26"/>
      <c r="H75" s="26"/>
    </row>
    <row r="76" spans="1:8" ht="20.100000000000001" customHeight="1" x14ac:dyDescent="0.25">
      <c r="A76" s="26"/>
      <c r="B76" s="26"/>
      <c r="C76" s="26"/>
      <c r="D76" s="26"/>
      <c r="E76" s="26"/>
      <c r="F76" s="26"/>
      <c r="G76" s="26"/>
      <c r="H76" s="26"/>
    </row>
    <row r="77" spans="1:8" ht="20.100000000000001" customHeight="1" x14ac:dyDescent="0.25">
      <c r="A77" s="130" t="s">
        <v>60</v>
      </c>
      <c r="B77" s="130"/>
      <c r="C77" s="130"/>
      <c r="D77" s="130"/>
      <c r="E77" s="23">
        <f>E57</f>
        <v>2</v>
      </c>
      <c r="F77" s="26"/>
      <c r="G77" s="26"/>
      <c r="H77" s="26"/>
    </row>
    <row r="78" spans="1:8" ht="20.100000000000001" customHeight="1" x14ac:dyDescent="0.25">
      <c r="A78" s="130" t="s">
        <v>50</v>
      </c>
      <c r="B78" s="130"/>
      <c r="C78" s="130"/>
      <c r="D78" s="130"/>
      <c r="E78" s="23">
        <v>60</v>
      </c>
      <c r="F78" s="26"/>
      <c r="G78" s="26"/>
      <c r="H78" s="26"/>
    </row>
    <row r="79" spans="1:8" ht="20.100000000000001" customHeight="1" x14ac:dyDescent="0.25">
      <c r="A79" s="130" t="s">
        <v>66</v>
      </c>
      <c r="B79" s="130"/>
      <c r="C79" s="130"/>
      <c r="D79" s="130"/>
      <c r="E79" s="67">
        <f>E77/E78</f>
        <v>3.3333333333333333E-2</v>
      </c>
      <c r="F79" s="26"/>
      <c r="G79" s="26"/>
      <c r="H79" s="26"/>
    </row>
    <row r="80" spans="1:8" ht="20.100000000000001" customHeight="1" x14ac:dyDescent="0.25">
      <c r="A80" s="130" t="s">
        <v>112</v>
      </c>
      <c r="B80" s="130"/>
      <c r="C80" s="130"/>
      <c r="D80" s="130"/>
      <c r="E80" s="68">
        <f>1/2*(E79+(E79^2))</f>
        <v>1.7222222222222222E-2</v>
      </c>
      <c r="F80" s="26"/>
      <c r="G80" s="26"/>
      <c r="H80" s="26"/>
    </row>
    <row r="81" spans="1:11" ht="20.100000000000001" customHeight="1" x14ac:dyDescent="0.25">
      <c r="A81" s="130" t="s">
        <v>61</v>
      </c>
      <c r="B81" s="130"/>
      <c r="C81" s="130"/>
      <c r="D81" s="130"/>
      <c r="E81" s="25" t="s">
        <v>36</v>
      </c>
      <c r="F81" s="26"/>
      <c r="G81" s="26"/>
      <c r="H81" s="26"/>
    </row>
    <row r="82" spans="1:11" ht="20.100000000000001" customHeight="1" x14ac:dyDescent="0.25">
      <c r="A82" s="59" t="s">
        <v>29</v>
      </c>
      <c r="B82" s="132" t="str">
        <f>VLOOKUP(E81,$K$17:$M$33,3,0)</f>
        <v>Novo</v>
      </c>
      <c r="C82" s="132"/>
      <c r="D82" s="132"/>
      <c r="E82" s="132"/>
      <c r="F82" s="26"/>
      <c r="G82" s="26"/>
      <c r="H82" s="26"/>
    </row>
    <row r="83" spans="1:11" ht="20.100000000000001" customHeight="1" x14ac:dyDescent="0.25">
      <c r="A83" s="130" t="s">
        <v>62</v>
      </c>
      <c r="B83" s="130"/>
      <c r="C83" s="130"/>
      <c r="D83" s="130"/>
      <c r="E83" s="59">
        <f>VLOOKUP(E81,$K$17:$M$33,2,0)</f>
        <v>0</v>
      </c>
      <c r="F83" s="26"/>
      <c r="G83" s="26"/>
      <c r="H83" s="26"/>
    </row>
    <row r="84" spans="1:11" ht="20.100000000000001" customHeight="1" x14ac:dyDescent="0.25">
      <c r="A84" s="133" t="s">
        <v>67</v>
      </c>
      <c r="B84" s="133"/>
      <c r="C84" s="133"/>
      <c r="D84" s="133"/>
      <c r="E84" s="69">
        <f>1-(E80+((1-E80)*(E83/100)))</f>
        <v>0.98277777777777775</v>
      </c>
      <c r="F84" s="26"/>
      <c r="G84" s="26"/>
      <c r="H84" s="26"/>
    </row>
    <row r="85" spans="1:11" ht="20.100000000000001" customHeight="1" x14ac:dyDescent="0.25">
      <c r="A85" s="26"/>
      <c r="B85" s="26"/>
      <c r="C85" s="26"/>
      <c r="D85" s="26"/>
      <c r="E85" s="26"/>
      <c r="F85" s="26"/>
      <c r="G85" s="26"/>
      <c r="H85" s="26"/>
    </row>
    <row r="86" spans="1:11" ht="20.100000000000001" customHeight="1" x14ac:dyDescent="0.25">
      <c r="A86" s="130" t="s">
        <v>68</v>
      </c>
      <c r="B86" s="130"/>
      <c r="C86" s="130"/>
      <c r="D86" s="130"/>
      <c r="E86" s="59">
        <f>E72/E84</f>
        <v>461.34537697354864</v>
      </c>
      <c r="F86" s="26"/>
      <c r="G86" s="26"/>
      <c r="H86" s="26"/>
    </row>
    <row r="87" spans="1:11" ht="20.100000000000001" customHeight="1" x14ac:dyDescent="0.25">
      <c r="A87" s="26"/>
      <c r="B87" s="26"/>
      <c r="C87" s="26"/>
      <c r="D87" s="26"/>
      <c r="E87" s="26"/>
      <c r="F87" s="26"/>
      <c r="G87" s="26"/>
      <c r="H87" s="26"/>
    </row>
    <row r="88" spans="1:11" ht="20.100000000000001" customHeight="1" x14ac:dyDescent="0.25">
      <c r="A88" s="26"/>
      <c r="B88" s="26"/>
      <c r="C88" s="26"/>
      <c r="D88" s="26"/>
      <c r="E88" s="26"/>
      <c r="F88" s="26"/>
      <c r="G88" s="26"/>
      <c r="H88" s="26"/>
    </row>
    <row r="89" spans="1:11" ht="20.100000000000001" customHeight="1" x14ac:dyDescent="0.25">
      <c r="A89" s="135" t="s">
        <v>70</v>
      </c>
      <c r="B89" s="135"/>
      <c r="C89" s="135"/>
      <c r="D89" s="135"/>
      <c r="E89" s="135"/>
      <c r="F89" s="135"/>
      <c r="G89" s="135"/>
      <c r="H89" s="135"/>
      <c r="I89" s="15"/>
      <c r="K89" s="2">
        <f>MATCH(B100,'VANTAGEM DA COISA FEITA'!$V$5:$Y$5,0)</f>
        <v>3</v>
      </c>
    </row>
    <row r="90" spans="1:11" ht="20.100000000000001" customHeight="1" x14ac:dyDescent="0.25">
      <c r="A90" s="26"/>
      <c r="B90" s="26"/>
      <c r="C90" s="26"/>
      <c r="D90" s="26"/>
      <c r="E90" s="26"/>
      <c r="F90" s="26"/>
      <c r="G90" s="26"/>
      <c r="H90" s="26"/>
      <c r="K90" s="2">
        <f>MATCH(E101,'VANTAGEM DA COISA FEITA'!$U$6:$U$76,0)</f>
        <v>21</v>
      </c>
    </row>
    <row r="91" spans="1:11" ht="20.100000000000001" customHeight="1" x14ac:dyDescent="0.25">
      <c r="A91" s="59" t="s">
        <v>52</v>
      </c>
      <c r="B91" s="130" t="s">
        <v>59</v>
      </c>
      <c r="C91" s="130"/>
      <c r="D91" s="130"/>
      <c r="E91" s="130"/>
      <c r="F91" s="26"/>
      <c r="G91" s="26"/>
      <c r="H91" s="26"/>
      <c r="K91" s="4" cm="1">
        <f t="array" ref="K91">1+(INDEX('VANTAGEM DA COISA FEITA'!$V$6:$Y$76,'IMÓVEIS DE REFERÊNCIA'!K90,'IMÓVEIS DE REFERÊNCIA'!K89))</f>
        <v>1.052</v>
      </c>
    </row>
    <row r="92" spans="1:11" ht="20.100000000000001" customHeight="1" x14ac:dyDescent="0.25">
      <c r="A92" s="26"/>
      <c r="B92" s="26"/>
      <c r="C92" s="26"/>
      <c r="D92" s="26"/>
      <c r="E92" s="26"/>
      <c r="F92" s="26"/>
      <c r="G92" s="26"/>
      <c r="H92" s="26"/>
    </row>
    <row r="93" spans="1:11" ht="20.100000000000001" customHeight="1" x14ac:dyDescent="0.25">
      <c r="A93" s="130" t="s">
        <v>57</v>
      </c>
      <c r="B93" s="130"/>
      <c r="C93" s="130"/>
      <c r="D93" s="130"/>
      <c r="E93" s="22">
        <v>245000</v>
      </c>
      <c r="F93" s="26"/>
      <c r="G93" s="26"/>
      <c r="H93" s="26"/>
    </row>
    <row r="94" spans="1:11" ht="20.100000000000001" customHeight="1" x14ac:dyDescent="0.25">
      <c r="A94" s="59" t="s">
        <v>97</v>
      </c>
      <c r="B94" s="139" t="s">
        <v>102</v>
      </c>
      <c r="C94" s="139"/>
      <c r="D94" s="59" t="s">
        <v>103</v>
      </c>
      <c r="E94" s="59">
        <f>HLOOKUP(B94,$K$12:$L$13,2,0)</f>
        <v>0.9</v>
      </c>
      <c r="F94" s="26"/>
      <c r="G94" s="26"/>
      <c r="H94" s="26"/>
    </row>
    <row r="95" spans="1:11" ht="20.100000000000001" customHeight="1" x14ac:dyDescent="0.25">
      <c r="A95" s="133" t="s">
        <v>104</v>
      </c>
      <c r="B95" s="133"/>
      <c r="C95" s="133"/>
      <c r="D95" s="133"/>
      <c r="E95" s="59">
        <f>E93*E94</f>
        <v>220500</v>
      </c>
      <c r="F95" s="26"/>
      <c r="G95" s="26"/>
      <c r="H95" s="26"/>
    </row>
    <row r="96" spans="1:11" ht="20.100000000000001" customHeight="1" x14ac:dyDescent="0.25">
      <c r="A96" s="26"/>
      <c r="B96" s="61"/>
      <c r="C96" s="61"/>
      <c r="D96" s="26"/>
      <c r="E96" s="26"/>
      <c r="F96" s="26"/>
      <c r="G96" s="26"/>
      <c r="H96" s="26"/>
    </row>
    <row r="97" spans="1:8" ht="20.100000000000001" customHeight="1" x14ac:dyDescent="0.25">
      <c r="A97" s="26"/>
      <c r="B97" s="26"/>
      <c r="C97" s="26"/>
      <c r="D97" s="26"/>
      <c r="E97" s="26"/>
      <c r="F97" s="26"/>
      <c r="G97" s="26"/>
      <c r="H97" s="26"/>
    </row>
    <row r="98" spans="1:8" ht="20.100000000000001" customHeight="1" x14ac:dyDescent="0.25">
      <c r="A98" s="131" t="s">
        <v>214</v>
      </c>
      <c r="B98" s="131"/>
      <c r="C98" s="131"/>
      <c r="D98" s="131"/>
      <c r="E98" s="131"/>
      <c r="F98" s="26"/>
      <c r="G98" s="26"/>
      <c r="H98" s="26"/>
    </row>
    <row r="99" spans="1:8" ht="20.100000000000001" customHeight="1" x14ac:dyDescent="0.25">
      <c r="A99" s="26"/>
      <c r="B99" s="26"/>
      <c r="C99" s="26"/>
      <c r="D99" s="26"/>
      <c r="E99" s="26"/>
      <c r="F99" s="26"/>
      <c r="G99" s="26"/>
      <c r="H99" s="26"/>
    </row>
    <row r="100" spans="1:8" ht="20.100000000000001" customHeight="1" x14ac:dyDescent="0.25">
      <c r="A100" s="59" t="s">
        <v>94</v>
      </c>
      <c r="B100" s="134" t="s">
        <v>76</v>
      </c>
      <c r="C100" s="134"/>
      <c r="D100" s="134"/>
      <c r="E100" s="134"/>
      <c r="F100" s="26"/>
      <c r="G100" s="26"/>
      <c r="H100" s="26"/>
    </row>
    <row r="101" spans="1:8" ht="20.100000000000001" customHeight="1" x14ac:dyDescent="0.25">
      <c r="A101" s="145" t="s">
        <v>95</v>
      </c>
      <c r="B101" s="145"/>
      <c r="C101" s="59"/>
      <c r="D101" s="59"/>
      <c r="E101" s="23">
        <v>20</v>
      </c>
      <c r="F101" s="26"/>
      <c r="G101" s="26"/>
      <c r="H101" s="26"/>
    </row>
    <row r="102" spans="1:8" ht="20.100000000000001" customHeight="1" x14ac:dyDescent="0.25">
      <c r="A102" s="136" t="s">
        <v>96</v>
      </c>
      <c r="B102" s="136"/>
      <c r="C102" s="136"/>
      <c r="D102" s="136"/>
      <c r="E102" s="63">
        <f>K91</f>
        <v>1.052</v>
      </c>
      <c r="F102" s="26"/>
      <c r="G102" s="26"/>
      <c r="H102" s="26"/>
    </row>
    <row r="103" spans="1:8" ht="20.100000000000001" customHeight="1" x14ac:dyDescent="0.25">
      <c r="A103" s="26"/>
      <c r="B103" s="26"/>
      <c r="C103" s="26"/>
      <c r="D103" s="26"/>
      <c r="E103" s="26"/>
      <c r="F103" s="26"/>
      <c r="G103" s="26"/>
      <c r="H103" s="26"/>
    </row>
    <row r="104" spans="1:8" ht="20.100000000000001" customHeight="1" x14ac:dyDescent="0.25">
      <c r="A104" s="130" t="s">
        <v>105</v>
      </c>
      <c r="B104" s="130"/>
      <c r="C104" s="130"/>
      <c r="D104" s="130"/>
      <c r="E104" s="59">
        <f>E95/E102</f>
        <v>209600.76045627377</v>
      </c>
      <c r="F104" s="26"/>
      <c r="G104" s="26"/>
      <c r="H104" s="26"/>
    </row>
    <row r="105" spans="1:8" ht="20.100000000000001" customHeight="1" x14ac:dyDescent="0.25">
      <c r="A105" s="64"/>
      <c r="B105" s="64"/>
      <c r="C105" s="26"/>
      <c r="D105" s="26"/>
      <c r="E105" s="65"/>
      <c r="F105" s="26"/>
      <c r="G105" s="26"/>
      <c r="H105" s="26"/>
    </row>
    <row r="106" spans="1:8" ht="20.100000000000001" customHeight="1" x14ac:dyDescent="0.25">
      <c r="A106" s="64"/>
      <c r="B106" s="64"/>
      <c r="C106" s="26"/>
      <c r="D106" s="26"/>
      <c r="E106" s="65"/>
      <c r="F106" s="26"/>
      <c r="G106" s="26"/>
      <c r="H106" s="26"/>
    </row>
    <row r="107" spans="1:8" ht="20.100000000000001" customHeight="1" x14ac:dyDescent="0.25">
      <c r="A107" s="131" t="s">
        <v>196</v>
      </c>
      <c r="B107" s="131"/>
      <c r="C107" s="131"/>
      <c r="D107" s="131"/>
      <c r="E107" s="131"/>
      <c r="F107" s="26"/>
      <c r="G107" s="26"/>
      <c r="H107" s="26"/>
    </row>
    <row r="108" spans="1:8" ht="20.100000000000001" customHeight="1" x14ac:dyDescent="0.25">
      <c r="A108" s="26"/>
      <c r="B108" s="26"/>
      <c r="C108" s="26"/>
      <c r="D108" s="26"/>
      <c r="E108" s="26"/>
      <c r="F108" s="26"/>
      <c r="G108" s="26"/>
      <c r="H108" s="26"/>
    </row>
    <row r="109" spans="1:8" ht="20.100000000000001" customHeight="1" x14ac:dyDescent="0.25">
      <c r="A109" s="59" t="s">
        <v>53</v>
      </c>
      <c r="B109" s="66">
        <v>250</v>
      </c>
      <c r="C109" s="66"/>
      <c r="D109" s="59" t="s">
        <v>55</v>
      </c>
      <c r="E109" s="59">
        <f>B109*'AVALIAÇÃO DO TERRENO'!$G$329</f>
        <v>139241.07142857148</v>
      </c>
      <c r="F109" s="26"/>
      <c r="G109" s="26"/>
      <c r="H109" s="26"/>
    </row>
    <row r="110" spans="1:8" ht="20.100000000000001" customHeight="1" x14ac:dyDescent="0.25">
      <c r="A110" s="26"/>
      <c r="B110" s="26"/>
      <c r="C110" s="26"/>
      <c r="D110" s="26"/>
      <c r="E110" s="26"/>
      <c r="F110" s="26"/>
      <c r="G110" s="26"/>
      <c r="H110" s="26"/>
    </row>
    <row r="111" spans="1:8" ht="20.100000000000001" customHeight="1" x14ac:dyDescent="0.25">
      <c r="A111" s="26"/>
      <c r="B111" s="26"/>
      <c r="C111" s="26"/>
      <c r="D111" s="26"/>
      <c r="E111" s="26"/>
      <c r="F111" s="26"/>
      <c r="G111" s="26"/>
      <c r="H111" s="26"/>
    </row>
    <row r="112" spans="1:8" ht="20.100000000000001" customHeight="1" x14ac:dyDescent="0.25">
      <c r="A112" s="131" t="s">
        <v>212</v>
      </c>
      <c r="B112" s="131"/>
      <c r="C112" s="131"/>
      <c r="D112" s="131"/>
      <c r="E112" s="131"/>
      <c r="F112" s="26"/>
      <c r="G112" s="26"/>
      <c r="H112" s="26"/>
    </row>
    <row r="113" spans="1:8" ht="20.100000000000001" customHeight="1" x14ac:dyDescent="0.25">
      <c r="A113" s="26"/>
      <c r="B113" s="26"/>
      <c r="C113" s="26"/>
      <c r="D113" s="26"/>
      <c r="E113" s="26"/>
      <c r="F113" s="26"/>
      <c r="G113" s="26"/>
      <c r="H113" s="26"/>
    </row>
    <row r="114" spans="1:8" ht="20.100000000000001" customHeight="1" x14ac:dyDescent="0.25">
      <c r="A114" s="59" t="s">
        <v>54</v>
      </c>
      <c r="B114" s="22">
        <v>195</v>
      </c>
      <c r="C114" s="59"/>
      <c r="D114" s="59" t="s">
        <v>56</v>
      </c>
      <c r="E114" s="59">
        <f>E104-E109</f>
        <v>70359.68902770229</v>
      </c>
      <c r="F114" s="26"/>
      <c r="G114" s="26"/>
      <c r="H114" s="26"/>
    </row>
    <row r="115" spans="1:8" ht="20.100000000000001" customHeight="1" x14ac:dyDescent="0.25">
      <c r="A115" s="26"/>
      <c r="B115" s="26"/>
      <c r="C115" s="26"/>
      <c r="D115" s="26"/>
      <c r="E115" s="26"/>
      <c r="F115" s="26"/>
      <c r="G115" s="26"/>
      <c r="H115" s="26"/>
    </row>
    <row r="116" spans="1:8" ht="20.100000000000001" customHeight="1" x14ac:dyDescent="0.25">
      <c r="A116" s="130" t="s">
        <v>58</v>
      </c>
      <c r="B116" s="130"/>
      <c r="C116" s="130"/>
      <c r="D116" s="130"/>
      <c r="E116" s="59">
        <f>E114/B114</f>
        <v>360.81891809078098</v>
      </c>
      <c r="F116" s="26"/>
      <c r="G116" s="26"/>
      <c r="H116" s="26"/>
    </row>
    <row r="117" spans="1:8" ht="20.100000000000001" customHeight="1" x14ac:dyDescent="0.25">
      <c r="A117" s="26"/>
      <c r="B117" s="26"/>
      <c r="C117" s="26"/>
      <c r="D117" s="26"/>
      <c r="E117" s="26"/>
      <c r="F117" s="26"/>
      <c r="G117" s="26"/>
      <c r="H117" s="26"/>
    </row>
    <row r="118" spans="1:8" ht="20.100000000000001" customHeight="1" x14ac:dyDescent="0.25">
      <c r="A118" s="26"/>
      <c r="B118" s="26"/>
      <c r="C118" s="26"/>
      <c r="D118" s="26"/>
      <c r="E118" s="26"/>
      <c r="F118" s="26"/>
      <c r="G118" s="26"/>
      <c r="H118" s="26"/>
    </row>
    <row r="119" spans="1:8" ht="20.100000000000001" customHeight="1" x14ac:dyDescent="0.25">
      <c r="A119" s="131" t="s">
        <v>215</v>
      </c>
      <c r="B119" s="131"/>
      <c r="C119" s="131"/>
      <c r="D119" s="131"/>
      <c r="E119" s="131"/>
      <c r="F119" s="26"/>
      <c r="G119" s="26"/>
      <c r="H119" s="26"/>
    </row>
    <row r="120" spans="1:8" ht="20.100000000000001" customHeight="1" x14ac:dyDescent="0.25">
      <c r="A120" s="26"/>
      <c r="B120" s="26"/>
      <c r="C120" s="26"/>
      <c r="D120" s="26"/>
      <c r="E120" s="26"/>
      <c r="F120" s="26"/>
      <c r="G120" s="26"/>
      <c r="H120" s="26"/>
    </row>
    <row r="121" spans="1:8" ht="20.100000000000001" customHeight="1" x14ac:dyDescent="0.25">
      <c r="A121" s="130" t="s">
        <v>60</v>
      </c>
      <c r="B121" s="130"/>
      <c r="C121" s="130"/>
      <c r="D121" s="130"/>
      <c r="E121" s="23">
        <v>20</v>
      </c>
      <c r="F121" s="26"/>
      <c r="G121" s="26"/>
      <c r="H121" s="26"/>
    </row>
    <row r="122" spans="1:8" ht="20.100000000000001" customHeight="1" x14ac:dyDescent="0.25">
      <c r="A122" s="130" t="s">
        <v>50</v>
      </c>
      <c r="B122" s="130"/>
      <c r="C122" s="130"/>
      <c r="D122" s="130"/>
      <c r="E122" s="23">
        <v>60</v>
      </c>
      <c r="F122" s="26"/>
      <c r="G122" s="26"/>
      <c r="H122" s="26"/>
    </row>
    <row r="123" spans="1:8" ht="20.100000000000001" customHeight="1" x14ac:dyDescent="0.25">
      <c r="A123" s="130" t="s">
        <v>66</v>
      </c>
      <c r="B123" s="130"/>
      <c r="C123" s="130"/>
      <c r="D123" s="130"/>
      <c r="E123" s="67">
        <f>E121/E122</f>
        <v>0.33333333333333331</v>
      </c>
      <c r="F123" s="26"/>
      <c r="G123" s="26"/>
      <c r="H123" s="26"/>
    </row>
    <row r="124" spans="1:8" ht="20.100000000000001" customHeight="1" x14ac:dyDescent="0.25">
      <c r="A124" s="130" t="s">
        <v>112</v>
      </c>
      <c r="B124" s="130"/>
      <c r="C124" s="130"/>
      <c r="D124" s="130"/>
      <c r="E124" s="68">
        <f>1/2*(E123+(E123^2))</f>
        <v>0.22222222222222221</v>
      </c>
      <c r="F124" s="26"/>
      <c r="G124" s="26"/>
      <c r="H124" s="26"/>
    </row>
    <row r="125" spans="1:8" ht="20.100000000000001" customHeight="1" x14ac:dyDescent="0.25">
      <c r="A125" s="130" t="s">
        <v>61</v>
      </c>
      <c r="B125" s="130"/>
      <c r="C125" s="130"/>
      <c r="D125" s="130"/>
      <c r="E125" s="25" t="s">
        <v>39</v>
      </c>
      <c r="F125" s="26"/>
      <c r="G125" s="26"/>
      <c r="H125" s="26"/>
    </row>
    <row r="126" spans="1:8" ht="20.100000000000001" customHeight="1" x14ac:dyDescent="0.25">
      <c r="A126" s="59" t="s">
        <v>29</v>
      </c>
      <c r="B126" s="132" t="str">
        <f>VLOOKUP(E125,$K$17:$M$33,3,0)</f>
        <v>Regular</v>
      </c>
      <c r="C126" s="132"/>
      <c r="D126" s="132"/>
      <c r="E126" s="132"/>
      <c r="F126" s="26"/>
      <c r="G126" s="26"/>
      <c r="H126" s="26"/>
    </row>
    <row r="127" spans="1:8" ht="20.100000000000001" customHeight="1" x14ac:dyDescent="0.25">
      <c r="A127" s="130" t="s">
        <v>62</v>
      </c>
      <c r="B127" s="130"/>
      <c r="C127" s="130"/>
      <c r="D127" s="130"/>
      <c r="E127" s="59">
        <f>VLOOKUP(E125,$K$17:$M$33,2,0)</f>
        <v>2.52</v>
      </c>
      <c r="F127" s="26"/>
      <c r="G127" s="26"/>
      <c r="H127" s="26"/>
    </row>
    <row r="128" spans="1:8" ht="20.100000000000001" customHeight="1" x14ac:dyDescent="0.25">
      <c r="A128" s="133" t="s">
        <v>67</v>
      </c>
      <c r="B128" s="133"/>
      <c r="C128" s="133"/>
      <c r="D128" s="133"/>
      <c r="E128" s="69">
        <f>1-(E124+((1-E124)*(E127/100)))</f>
        <v>0.75817777777777784</v>
      </c>
      <c r="F128" s="26"/>
      <c r="G128" s="26"/>
      <c r="H128" s="26"/>
    </row>
    <row r="129" spans="1:11" ht="20.100000000000001" customHeight="1" x14ac:dyDescent="0.25">
      <c r="A129" s="26"/>
      <c r="B129" s="26"/>
      <c r="C129" s="26"/>
      <c r="D129" s="26"/>
      <c r="E129" s="26"/>
      <c r="F129" s="26"/>
      <c r="G129" s="26"/>
      <c r="H129" s="26"/>
    </row>
    <row r="130" spans="1:11" ht="20.100000000000001" customHeight="1" x14ac:dyDescent="0.25">
      <c r="A130" s="130" t="s">
        <v>68</v>
      </c>
      <c r="B130" s="130"/>
      <c r="C130" s="130"/>
      <c r="D130" s="130"/>
      <c r="E130" s="59">
        <f>E116/E128</f>
        <v>475.90278779779419</v>
      </c>
      <c r="F130" s="26"/>
      <c r="G130" s="26"/>
      <c r="H130" s="26"/>
    </row>
    <row r="131" spans="1:11" ht="20.100000000000001" customHeight="1" x14ac:dyDescent="0.25">
      <c r="A131" s="26"/>
      <c r="B131" s="26"/>
      <c r="C131" s="26"/>
      <c r="D131" s="26"/>
      <c r="E131" s="26"/>
      <c r="F131" s="26"/>
      <c r="G131" s="26"/>
      <c r="H131" s="26"/>
    </row>
    <row r="132" spans="1:11" ht="20.100000000000001" customHeight="1" x14ac:dyDescent="0.25">
      <c r="A132" s="26"/>
      <c r="B132" s="26"/>
      <c r="C132" s="26"/>
      <c r="D132" s="26"/>
      <c r="E132" s="26"/>
      <c r="F132" s="26"/>
      <c r="G132" s="26"/>
      <c r="H132" s="26"/>
    </row>
    <row r="133" spans="1:11" ht="20.100000000000001" customHeight="1" x14ac:dyDescent="0.25">
      <c r="A133" s="135" t="s">
        <v>71</v>
      </c>
      <c r="B133" s="135"/>
      <c r="C133" s="135"/>
      <c r="D133" s="135"/>
      <c r="E133" s="135"/>
      <c r="F133" s="135"/>
      <c r="G133" s="135"/>
      <c r="H133" s="135"/>
      <c r="I133" s="15"/>
      <c r="K133" s="1">
        <f>E40</f>
        <v>0.88002777777777785</v>
      </c>
    </row>
    <row r="134" spans="1:11" ht="20.100000000000001" customHeight="1" x14ac:dyDescent="0.25">
      <c r="A134" s="26"/>
      <c r="B134" s="26"/>
      <c r="C134" s="26"/>
      <c r="D134" s="26"/>
      <c r="E134" s="26"/>
      <c r="F134" s="26"/>
      <c r="G134" s="26"/>
      <c r="H134" s="26"/>
      <c r="K134" s="1">
        <f>E84</f>
        <v>0.98277777777777775</v>
      </c>
    </row>
    <row r="135" spans="1:11" ht="20.100000000000001" customHeight="1" x14ac:dyDescent="0.25">
      <c r="A135" s="26"/>
      <c r="B135" s="26"/>
      <c r="C135" s="26"/>
      <c r="D135" s="26"/>
      <c r="E135" s="26"/>
      <c r="F135" s="26"/>
      <c r="G135" s="26"/>
      <c r="H135" s="26"/>
      <c r="K135" s="1">
        <f>E128</f>
        <v>0.75817777777777784</v>
      </c>
    </row>
    <row r="136" spans="1:11" ht="20.100000000000001" customHeight="1" x14ac:dyDescent="0.25">
      <c r="A136" s="26"/>
      <c r="B136" s="26"/>
      <c r="C136" s="26"/>
      <c r="D136" s="26"/>
      <c r="E136" s="26"/>
      <c r="F136" s="26"/>
      <c r="G136" s="26"/>
      <c r="H136" s="26"/>
    </row>
    <row r="137" spans="1:11" ht="20.100000000000001" customHeight="1" x14ac:dyDescent="0.25">
      <c r="A137" s="26"/>
      <c r="B137" s="26"/>
      <c r="C137" s="26"/>
      <c r="D137" s="26"/>
      <c r="E137" s="26"/>
      <c r="F137" s="26"/>
      <c r="G137" s="26"/>
      <c r="H137" s="26"/>
    </row>
    <row r="138" spans="1:11" ht="20.100000000000001" customHeight="1" x14ac:dyDescent="0.25">
      <c r="A138" s="26"/>
      <c r="B138" s="26"/>
      <c r="C138" s="26"/>
      <c r="D138" s="26"/>
      <c r="E138" s="26"/>
      <c r="F138" s="26"/>
      <c r="G138" s="26"/>
      <c r="H138" s="26"/>
    </row>
    <row r="139" spans="1:11" ht="20.100000000000001" customHeight="1" x14ac:dyDescent="0.25">
      <c r="A139" s="26"/>
      <c r="B139" s="26"/>
      <c r="C139" s="26"/>
      <c r="D139" s="26"/>
      <c r="E139" s="26"/>
      <c r="F139" s="26"/>
      <c r="G139" s="26"/>
      <c r="H139" s="26"/>
    </row>
    <row r="140" spans="1:11" ht="20.100000000000001" customHeight="1" x14ac:dyDescent="0.25">
      <c r="A140" s="26"/>
      <c r="B140" s="26"/>
      <c r="C140" s="26"/>
      <c r="D140" s="26"/>
      <c r="E140" s="26"/>
      <c r="F140" s="26"/>
      <c r="G140" s="26"/>
      <c r="H140" s="26"/>
    </row>
    <row r="141" spans="1:11" ht="20.100000000000001" customHeight="1" x14ac:dyDescent="0.25">
      <c r="A141" s="26"/>
      <c r="B141" s="26"/>
      <c r="C141" s="26"/>
      <c r="D141" s="26"/>
      <c r="E141" s="26"/>
      <c r="F141" s="26"/>
      <c r="G141" s="26"/>
      <c r="H141" s="26"/>
    </row>
    <row r="142" spans="1:11" ht="20.100000000000001" customHeight="1" x14ac:dyDescent="0.25">
      <c r="A142" s="26"/>
      <c r="B142" s="26"/>
      <c r="C142" s="26"/>
      <c r="D142" s="26"/>
      <c r="E142" s="26"/>
      <c r="F142" s="26"/>
      <c r="G142" s="26"/>
      <c r="H142" s="26"/>
    </row>
    <row r="143" spans="1:11" ht="20.100000000000001" customHeight="1" x14ac:dyDescent="0.25">
      <c r="A143" s="26"/>
      <c r="B143" s="26"/>
      <c r="C143" s="26"/>
      <c r="D143" s="26"/>
      <c r="E143" s="26"/>
      <c r="F143" s="26"/>
      <c r="G143" s="26"/>
      <c r="H143" s="26"/>
    </row>
    <row r="144" spans="1:11" ht="20.100000000000001" customHeight="1" x14ac:dyDescent="0.25">
      <c r="A144" s="26"/>
      <c r="B144" s="26"/>
      <c r="C144" s="26"/>
      <c r="D144" s="26"/>
      <c r="E144" s="26"/>
      <c r="F144" s="26"/>
      <c r="G144" s="26"/>
      <c r="H144" s="26"/>
    </row>
    <row r="145" spans="1:8" ht="20.100000000000001" customHeight="1" x14ac:dyDescent="0.25">
      <c r="A145" s="26"/>
      <c r="B145" s="26"/>
      <c r="C145" s="26"/>
      <c r="D145" s="26"/>
      <c r="E145" s="26"/>
      <c r="F145" s="26"/>
      <c r="G145" s="26"/>
      <c r="H145" s="26"/>
    </row>
    <row r="146" spans="1:8" ht="20.100000000000001" customHeight="1" x14ac:dyDescent="0.25">
      <c r="A146" s="26"/>
      <c r="B146" s="26"/>
      <c r="C146" s="26"/>
      <c r="D146" s="26"/>
      <c r="E146" s="26"/>
      <c r="F146" s="26"/>
      <c r="G146" s="26"/>
      <c r="H146" s="26"/>
    </row>
    <row r="147" spans="1:8" ht="20.100000000000001" customHeight="1" x14ac:dyDescent="0.25">
      <c r="A147" s="26"/>
      <c r="B147" s="26"/>
      <c r="C147" s="26"/>
      <c r="D147" s="26"/>
      <c r="E147" s="26"/>
      <c r="F147" s="26"/>
      <c r="G147" s="26"/>
      <c r="H147" s="26"/>
    </row>
    <row r="148" spans="1:8" ht="20.100000000000001" customHeight="1" x14ac:dyDescent="0.25">
      <c r="A148" s="26"/>
      <c r="B148" s="26"/>
      <c r="C148" s="26"/>
      <c r="D148" s="26"/>
      <c r="E148" s="26"/>
      <c r="F148" s="26"/>
      <c r="G148" s="26"/>
      <c r="H148" s="26"/>
    </row>
    <row r="149" spans="1:8" ht="20.100000000000001" customHeight="1" x14ac:dyDescent="0.25">
      <c r="A149" s="26"/>
      <c r="B149" s="26"/>
      <c r="C149" s="26"/>
      <c r="D149" s="26"/>
      <c r="E149" s="26"/>
      <c r="F149" s="26"/>
      <c r="G149" s="26"/>
      <c r="H149" s="26"/>
    </row>
    <row r="150" spans="1:8" ht="20.100000000000001" customHeight="1" x14ac:dyDescent="0.25">
      <c r="A150" s="26"/>
      <c r="B150" s="26"/>
      <c r="C150" s="26"/>
      <c r="D150" s="26"/>
      <c r="E150" s="26"/>
      <c r="F150" s="26"/>
      <c r="G150" s="26"/>
      <c r="H150" s="26"/>
    </row>
    <row r="151" spans="1:8" ht="20.100000000000001" customHeight="1" x14ac:dyDescent="0.25">
      <c r="A151" s="26"/>
      <c r="B151" s="26"/>
      <c r="C151" s="26"/>
      <c r="D151" s="26"/>
      <c r="E151" s="26"/>
      <c r="F151" s="26"/>
      <c r="G151" s="26"/>
      <c r="H151" s="26"/>
    </row>
    <row r="152" spans="1:8" ht="20.100000000000001" customHeight="1" x14ac:dyDescent="0.25">
      <c r="A152" s="26"/>
      <c r="B152" s="26"/>
      <c r="C152" s="26"/>
      <c r="D152" s="26"/>
      <c r="E152" s="26"/>
      <c r="F152" s="26"/>
      <c r="G152" s="26"/>
      <c r="H152" s="26"/>
    </row>
    <row r="153" spans="1:8" ht="20.100000000000001" customHeight="1" x14ac:dyDescent="0.25">
      <c r="A153" s="26"/>
      <c r="B153" s="26"/>
      <c r="C153" s="26"/>
      <c r="D153" s="26"/>
      <c r="E153" s="26"/>
      <c r="F153" s="26"/>
      <c r="G153" s="26"/>
      <c r="H153" s="26"/>
    </row>
    <row r="154" spans="1:8" ht="20.100000000000001" customHeight="1" x14ac:dyDescent="0.25">
      <c r="A154" s="26"/>
      <c r="B154" s="26"/>
      <c r="C154" s="26"/>
      <c r="D154" s="26"/>
      <c r="E154" s="26"/>
      <c r="F154" s="26"/>
      <c r="G154" s="26"/>
      <c r="H154" s="26"/>
    </row>
    <row r="155" spans="1:8" ht="20.100000000000001" customHeight="1" x14ac:dyDescent="0.25">
      <c r="A155" s="26"/>
      <c r="B155" s="26"/>
      <c r="C155" s="26"/>
      <c r="D155" s="26"/>
      <c r="E155" s="26"/>
      <c r="F155" s="26"/>
      <c r="G155" s="26"/>
      <c r="H155" s="26"/>
    </row>
    <row r="156" spans="1:8" ht="20.100000000000001" customHeight="1" x14ac:dyDescent="0.25">
      <c r="A156" s="26"/>
      <c r="B156" s="26"/>
      <c r="C156" s="26"/>
      <c r="D156" s="26"/>
      <c r="E156" s="26"/>
      <c r="F156" s="26"/>
      <c r="G156" s="26"/>
      <c r="H156" s="26"/>
    </row>
    <row r="157" spans="1:8" ht="20.100000000000001" customHeight="1" x14ac:dyDescent="0.25">
      <c r="A157" s="26"/>
      <c r="B157" s="26"/>
      <c r="C157" s="26"/>
      <c r="D157" s="26"/>
      <c r="E157" s="26"/>
      <c r="F157" s="26"/>
      <c r="G157" s="26"/>
      <c r="H157" s="26"/>
    </row>
    <row r="158" spans="1:8" ht="20.100000000000001" customHeight="1" x14ac:dyDescent="0.25">
      <c r="A158" s="26"/>
      <c r="B158" s="26"/>
      <c r="C158" s="26"/>
      <c r="D158" s="26"/>
      <c r="E158" s="26"/>
      <c r="F158" s="26"/>
      <c r="G158" s="26"/>
      <c r="H158" s="26"/>
    </row>
    <row r="159" spans="1:8" ht="20.100000000000001" customHeight="1" x14ac:dyDescent="0.25">
      <c r="A159" s="26"/>
      <c r="B159" s="26"/>
      <c r="C159" s="26"/>
      <c r="D159" s="26"/>
      <c r="E159" s="26"/>
      <c r="F159" s="26"/>
      <c r="G159" s="26"/>
      <c r="H159" s="26"/>
    </row>
    <row r="160" spans="1:8" ht="20.100000000000001" customHeight="1" x14ac:dyDescent="0.25">
      <c r="A160" s="26"/>
      <c r="B160" s="26"/>
      <c r="C160" s="26"/>
      <c r="D160" s="26"/>
      <c r="E160" s="26"/>
      <c r="F160" s="26"/>
      <c r="G160" s="26"/>
      <c r="H160" s="26"/>
    </row>
    <row r="161" spans="1:8" ht="20.100000000000001" customHeight="1" x14ac:dyDescent="0.25">
      <c r="A161" s="26"/>
      <c r="B161" s="26"/>
      <c r="C161" s="26"/>
      <c r="D161" s="26"/>
      <c r="E161" s="26"/>
      <c r="F161" s="26"/>
      <c r="G161" s="26"/>
      <c r="H161" s="26"/>
    </row>
    <row r="162" spans="1:8" ht="20.100000000000001" customHeight="1" x14ac:dyDescent="0.25">
      <c r="A162" s="26"/>
      <c r="B162" s="26"/>
      <c r="C162" s="26"/>
      <c r="D162" s="26"/>
      <c r="E162" s="26"/>
      <c r="F162" s="26"/>
      <c r="G162" s="26"/>
      <c r="H162" s="26"/>
    </row>
    <row r="163" spans="1:8" ht="20.100000000000001" customHeight="1" x14ac:dyDescent="0.25">
      <c r="A163" s="26"/>
      <c r="B163" s="26"/>
      <c r="C163" s="26"/>
      <c r="D163" s="26"/>
      <c r="E163" s="26"/>
      <c r="F163" s="26"/>
      <c r="G163" s="26"/>
      <c r="H163" s="26"/>
    </row>
    <row r="164" spans="1:8" ht="20.100000000000001" customHeight="1" x14ac:dyDescent="0.25">
      <c r="A164" s="26"/>
      <c r="B164" s="26"/>
      <c r="C164" s="26"/>
      <c r="D164" s="26"/>
      <c r="E164" s="26"/>
      <c r="F164" s="26"/>
      <c r="G164" s="26"/>
      <c r="H164" s="26"/>
    </row>
    <row r="165" spans="1:8" ht="20.100000000000001" customHeight="1" x14ac:dyDescent="0.25">
      <c r="A165" s="26"/>
      <c r="B165" s="26"/>
      <c r="C165" s="26"/>
      <c r="D165" s="26"/>
      <c r="E165" s="26"/>
      <c r="F165" s="26"/>
      <c r="G165" s="26"/>
      <c r="H165" s="26"/>
    </row>
    <row r="166" spans="1:8" ht="20.100000000000001" customHeight="1" x14ac:dyDescent="0.25">
      <c r="A166" s="26"/>
      <c r="B166" s="26"/>
      <c r="C166" s="26"/>
      <c r="D166" s="26"/>
      <c r="E166" s="26"/>
      <c r="F166" s="26"/>
      <c r="G166" s="26"/>
      <c r="H166" s="26"/>
    </row>
    <row r="167" spans="1:8" ht="20.100000000000001" customHeight="1" x14ac:dyDescent="0.25">
      <c r="A167" s="26"/>
      <c r="B167" s="26"/>
      <c r="C167" s="26"/>
      <c r="D167" s="26"/>
      <c r="E167" s="26"/>
      <c r="F167" s="26"/>
      <c r="G167" s="26"/>
      <c r="H167" s="26"/>
    </row>
    <row r="168" spans="1:8" ht="20.100000000000001" customHeight="1" x14ac:dyDescent="0.25">
      <c r="A168" s="26"/>
      <c r="B168" s="26"/>
      <c r="C168" s="26"/>
      <c r="D168" s="26"/>
      <c r="E168" s="26"/>
      <c r="F168" s="26"/>
      <c r="G168" s="26"/>
      <c r="H168" s="26"/>
    </row>
    <row r="169" spans="1:8" ht="20.100000000000001" customHeight="1" x14ac:dyDescent="0.25">
      <c r="A169" s="26"/>
      <c r="B169" s="26"/>
      <c r="C169" s="26"/>
      <c r="D169" s="26"/>
      <c r="E169" s="26"/>
      <c r="F169" s="26"/>
      <c r="G169" s="26"/>
      <c r="H169" s="26"/>
    </row>
    <row r="170" spans="1:8" ht="20.100000000000001" customHeight="1" x14ac:dyDescent="0.25">
      <c r="A170" s="26"/>
      <c r="B170" s="26"/>
      <c r="C170" s="26"/>
      <c r="D170" s="26"/>
      <c r="E170" s="26"/>
      <c r="F170" s="26"/>
      <c r="G170" s="26"/>
      <c r="H170" s="26"/>
    </row>
    <row r="171" spans="1:8" ht="20.100000000000001" customHeight="1" x14ac:dyDescent="0.25">
      <c r="A171" s="26"/>
      <c r="B171" s="26"/>
      <c r="C171" s="26"/>
      <c r="D171" s="26"/>
      <c r="E171" s="26"/>
      <c r="F171" s="26"/>
      <c r="G171" s="26"/>
      <c r="H171" s="26"/>
    </row>
    <row r="172" spans="1:8" ht="20.100000000000001" customHeight="1" x14ac:dyDescent="0.25">
      <c r="A172" s="26"/>
      <c r="B172" s="26"/>
      <c r="C172" s="26"/>
      <c r="D172" s="26"/>
      <c r="E172" s="26"/>
      <c r="F172" s="26"/>
      <c r="G172" s="26"/>
      <c r="H172" s="26"/>
    </row>
    <row r="173" spans="1:8" ht="20.100000000000001" customHeight="1" x14ac:dyDescent="0.25">
      <c r="A173" s="26"/>
      <c r="B173" s="26"/>
      <c r="C173" s="26"/>
      <c r="D173" s="26"/>
      <c r="E173" s="26"/>
      <c r="F173" s="26"/>
      <c r="G173" s="26"/>
      <c r="H173" s="26"/>
    </row>
    <row r="174" spans="1:8" ht="20.100000000000001" customHeight="1" x14ac:dyDescent="0.25">
      <c r="A174" s="26"/>
      <c r="B174" s="26"/>
      <c r="C174" s="26"/>
      <c r="D174" s="26"/>
      <c r="E174" s="26"/>
      <c r="F174" s="26"/>
      <c r="G174" s="26"/>
      <c r="H174" s="26"/>
    </row>
    <row r="175" spans="1:8" ht="20.100000000000001" customHeight="1" x14ac:dyDescent="0.25">
      <c r="A175" s="26"/>
      <c r="B175" s="26"/>
      <c r="C175" s="26"/>
      <c r="D175" s="26"/>
      <c r="E175" s="26"/>
      <c r="F175" s="26"/>
      <c r="G175" s="26"/>
      <c r="H175" s="26"/>
    </row>
    <row r="176" spans="1:8" ht="20.100000000000001" customHeight="1" x14ac:dyDescent="0.25">
      <c r="A176" s="26"/>
      <c r="B176" s="26"/>
      <c r="C176" s="26"/>
      <c r="D176" s="26"/>
      <c r="E176" s="26"/>
      <c r="F176" s="26"/>
      <c r="G176" s="26"/>
      <c r="H176" s="26"/>
    </row>
    <row r="177" spans="1:8" ht="20.100000000000001" customHeight="1" x14ac:dyDescent="0.25">
      <c r="A177" s="26"/>
      <c r="B177" s="26"/>
      <c r="C177" s="26"/>
      <c r="D177" s="26"/>
      <c r="E177" s="26"/>
      <c r="F177" s="26"/>
      <c r="G177" s="26"/>
      <c r="H177" s="26"/>
    </row>
    <row r="178" spans="1:8" ht="20.100000000000001" customHeight="1" x14ac:dyDescent="0.25">
      <c r="A178" s="26"/>
      <c r="B178" s="26"/>
      <c r="C178" s="26"/>
      <c r="D178" s="26"/>
      <c r="E178" s="26"/>
      <c r="F178" s="26"/>
      <c r="G178" s="26"/>
      <c r="H178" s="26"/>
    </row>
    <row r="179" spans="1:8" ht="20.100000000000001" customHeight="1" x14ac:dyDescent="0.25">
      <c r="A179" s="26"/>
      <c r="B179" s="26"/>
      <c r="C179" s="26"/>
      <c r="D179" s="26"/>
      <c r="E179" s="26"/>
      <c r="F179" s="26"/>
      <c r="G179" s="26"/>
      <c r="H179" s="26"/>
    </row>
    <row r="180" spans="1:8" ht="20.100000000000001" customHeight="1" x14ac:dyDescent="0.25">
      <c r="A180" s="26"/>
      <c r="B180" s="26"/>
      <c r="C180" s="26"/>
      <c r="D180" s="26"/>
      <c r="E180" s="26"/>
      <c r="F180" s="26"/>
      <c r="G180" s="26"/>
      <c r="H180" s="26"/>
    </row>
    <row r="181" spans="1:8" ht="20.100000000000001" customHeight="1" x14ac:dyDescent="0.25">
      <c r="A181" s="26"/>
      <c r="B181" s="26"/>
      <c r="C181" s="26"/>
      <c r="D181" s="26"/>
      <c r="E181" s="26"/>
      <c r="F181" s="26"/>
      <c r="G181" s="26"/>
      <c r="H181" s="26"/>
    </row>
    <row r="182" spans="1:8" ht="20.100000000000001" customHeight="1" x14ac:dyDescent="0.25">
      <c r="A182" s="26"/>
      <c r="B182" s="26"/>
      <c r="C182" s="26"/>
      <c r="D182" s="26"/>
      <c r="E182" s="26"/>
      <c r="F182" s="26"/>
      <c r="G182" s="26"/>
      <c r="H182" s="26"/>
    </row>
    <row r="183" spans="1:8" ht="20.100000000000001" customHeight="1" x14ac:dyDescent="0.25">
      <c r="A183" s="26"/>
      <c r="B183" s="26"/>
      <c r="C183" s="26"/>
      <c r="D183" s="26"/>
      <c r="E183" s="26"/>
      <c r="F183" s="26"/>
      <c r="G183" s="26"/>
      <c r="H183" s="26"/>
    </row>
    <row r="184" spans="1:8" ht="20.100000000000001" customHeight="1" x14ac:dyDescent="0.25">
      <c r="A184" s="26"/>
      <c r="B184" s="26"/>
      <c r="C184" s="26"/>
      <c r="D184" s="26"/>
      <c r="E184" s="26"/>
      <c r="F184" s="26"/>
      <c r="G184" s="26"/>
      <c r="H184" s="26"/>
    </row>
    <row r="185" spans="1:8" ht="20.100000000000001" customHeight="1" x14ac:dyDescent="0.25">
      <c r="A185" s="26"/>
      <c r="B185" s="26"/>
      <c r="C185" s="26"/>
      <c r="D185" s="26"/>
      <c r="E185" s="26"/>
      <c r="F185" s="26"/>
      <c r="G185" s="26"/>
      <c r="H185" s="26"/>
    </row>
    <row r="186" spans="1:8" ht="20.100000000000001" customHeight="1" x14ac:dyDescent="0.25">
      <c r="A186" s="26"/>
      <c r="B186" s="26"/>
      <c r="C186" s="26"/>
      <c r="D186" s="26"/>
      <c r="E186" s="26"/>
      <c r="F186" s="26"/>
      <c r="G186" s="26"/>
      <c r="H186" s="26"/>
    </row>
    <row r="187" spans="1:8" ht="20.100000000000001" customHeight="1" x14ac:dyDescent="0.25">
      <c r="A187" s="26"/>
      <c r="B187" s="26"/>
      <c r="C187" s="26"/>
      <c r="D187" s="26"/>
      <c r="E187" s="26"/>
      <c r="F187" s="26"/>
      <c r="G187" s="26"/>
      <c r="H187" s="26"/>
    </row>
    <row r="188" spans="1:8" ht="20.100000000000001" customHeight="1" x14ac:dyDescent="0.25">
      <c r="A188" s="26"/>
      <c r="B188" s="26"/>
      <c r="C188" s="26"/>
      <c r="D188" s="26"/>
      <c r="E188" s="26"/>
      <c r="F188" s="26"/>
      <c r="G188" s="26"/>
      <c r="H188" s="26"/>
    </row>
    <row r="189" spans="1:8" ht="20.100000000000001" customHeight="1" x14ac:dyDescent="0.25">
      <c r="A189" s="26"/>
      <c r="B189" s="26"/>
      <c r="C189" s="26"/>
      <c r="D189" s="26"/>
      <c r="E189" s="26"/>
      <c r="F189" s="26"/>
      <c r="G189" s="26"/>
      <c r="H189" s="26"/>
    </row>
    <row r="190" spans="1:8" ht="20.100000000000001" customHeight="1" x14ac:dyDescent="0.25">
      <c r="A190" s="26"/>
      <c r="B190" s="26"/>
      <c r="C190" s="26"/>
      <c r="D190" s="26"/>
      <c r="E190" s="26"/>
      <c r="F190" s="26"/>
      <c r="G190" s="26"/>
      <c r="H190" s="26"/>
    </row>
    <row r="191" spans="1:8" ht="20.100000000000001" customHeight="1" x14ac:dyDescent="0.25">
      <c r="A191" s="26"/>
      <c r="B191" s="26"/>
      <c r="C191" s="26"/>
      <c r="D191" s="26"/>
      <c r="E191" s="26"/>
      <c r="F191" s="26"/>
      <c r="G191" s="26"/>
      <c r="H191" s="26"/>
    </row>
    <row r="192" spans="1:8" ht="20.100000000000001" customHeight="1" x14ac:dyDescent="0.25">
      <c r="A192" s="26"/>
      <c r="B192" s="26"/>
      <c r="C192" s="26"/>
      <c r="D192" s="26"/>
      <c r="E192" s="26"/>
      <c r="F192" s="26"/>
      <c r="G192" s="26"/>
      <c r="H192" s="26"/>
    </row>
    <row r="193" spans="1:14" ht="20.100000000000001" customHeight="1" x14ac:dyDescent="0.25">
      <c r="A193" s="26"/>
      <c r="B193" s="26"/>
      <c r="C193" s="26"/>
      <c r="D193" s="26"/>
      <c r="E193" s="26"/>
      <c r="F193" s="26"/>
      <c r="G193" s="26"/>
      <c r="H193" s="26"/>
    </row>
    <row r="194" spans="1:14" ht="20.100000000000001" customHeight="1" x14ac:dyDescent="0.25">
      <c r="A194" s="26"/>
      <c r="B194" s="26"/>
      <c r="C194" s="26"/>
      <c r="D194" s="26"/>
      <c r="E194" s="26"/>
      <c r="F194" s="26"/>
      <c r="G194" s="26"/>
      <c r="H194" s="26"/>
    </row>
    <row r="195" spans="1:14" ht="20.100000000000001" customHeight="1" x14ac:dyDescent="0.25">
      <c r="A195" s="26"/>
      <c r="B195" s="26"/>
      <c r="C195" s="26"/>
      <c r="D195" s="26"/>
      <c r="E195" s="26"/>
      <c r="F195" s="26"/>
      <c r="G195" s="26"/>
      <c r="H195" s="26"/>
    </row>
    <row r="196" spans="1:14" ht="20.100000000000001" customHeight="1" x14ac:dyDescent="0.25">
      <c r="A196" s="26"/>
      <c r="B196" s="26"/>
      <c r="C196" s="26"/>
      <c r="D196" s="26"/>
      <c r="E196" s="26"/>
      <c r="F196" s="26"/>
      <c r="G196" s="26"/>
      <c r="H196" s="26"/>
    </row>
    <row r="197" spans="1:14" ht="20.100000000000001" customHeight="1" x14ac:dyDescent="0.25">
      <c r="A197" s="26"/>
      <c r="B197" s="26"/>
      <c r="C197" s="26"/>
      <c r="D197" s="26"/>
      <c r="E197" s="26"/>
      <c r="F197" s="26"/>
      <c r="G197" s="26"/>
      <c r="H197" s="26"/>
    </row>
    <row r="198" spans="1:14" ht="20.100000000000001" customHeight="1" x14ac:dyDescent="0.25">
      <c r="A198" s="26"/>
      <c r="B198" s="26"/>
      <c r="C198" s="26"/>
      <c r="D198" s="26"/>
      <c r="E198" s="26"/>
      <c r="F198" s="26"/>
      <c r="G198" s="26"/>
      <c r="H198" s="26"/>
    </row>
    <row r="199" spans="1:14" ht="20.100000000000001" customHeight="1" x14ac:dyDescent="0.25">
      <c r="A199" s="26"/>
      <c r="B199" s="26"/>
      <c r="C199" s="26"/>
      <c r="D199" s="26"/>
      <c r="E199" s="26"/>
      <c r="F199" s="26"/>
      <c r="G199" s="26"/>
      <c r="H199" s="26"/>
    </row>
    <row r="200" spans="1:14" ht="20.100000000000001" customHeight="1" x14ac:dyDescent="0.25">
      <c r="A200" s="26"/>
      <c r="B200" s="26"/>
      <c r="C200" s="26"/>
      <c r="D200" s="26"/>
      <c r="E200" s="26"/>
      <c r="F200" s="26"/>
      <c r="G200" s="26"/>
      <c r="H200" s="26"/>
    </row>
    <row r="201" spans="1:14" ht="20.100000000000001" customHeight="1" x14ac:dyDescent="0.25">
      <c r="A201" s="26"/>
      <c r="B201" s="26"/>
      <c r="C201" s="26"/>
      <c r="D201" s="26"/>
      <c r="E201" s="26"/>
      <c r="F201" s="26"/>
      <c r="G201" s="26"/>
      <c r="H201" s="26"/>
    </row>
    <row r="202" spans="1:14" ht="20.100000000000001" customHeight="1" x14ac:dyDescent="0.25">
      <c r="A202" s="26"/>
      <c r="B202" s="26"/>
      <c r="C202" s="26"/>
      <c r="D202" s="26"/>
      <c r="E202" s="26"/>
      <c r="F202" s="26"/>
      <c r="G202" s="26"/>
      <c r="H202" s="26"/>
    </row>
    <row r="203" spans="1:14" ht="20.100000000000001" customHeight="1" x14ac:dyDescent="0.25">
      <c r="A203" s="26"/>
      <c r="B203" s="26"/>
      <c r="C203" s="26"/>
      <c r="D203" s="26"/>
      <c r="E203" s="26"/>
      <c r="F203" s="26"/>
      <c r="G203" s="26"/>
      <c r="H203" s="26"/>
    </row>
    <row r="204" spans="1:14" ht="20.100000000000001" customHeight="1" x14ac:dyDescent="0.25">
      <c r="A204" s="26"/>
      <c r="B204" s="26"/>
      <c r="C204" s="26"/>
      <c r="D204" s="26"/>
      <c r="E204" s="26"/>
      <c r="F204" s="26"/>
      <c r="G204" s="26"/>
      <c r="H204" s="26"/>
    </row>
    <row r="205" spans="1:14" ht="20.100000000000001" customHeight="1" x14ac:dyDescent="0.25">
      <c r="A205" s="135" t="s">
        <v>12</v>
      </c>
      <c r="B205" s="135"/>
      <c r="C205" s="135"/>
      <c r="D205" s="135"/>
      <c r="E205" s="135"/>
      <c r="F205" s="135"/>
      <c r="G205" s="135"/>
      <c r="H205" s="135"/>
      <c r="I205" s="15"/>
    </row>
    <row r="206" spans="1:14" ht="20.100000000000001" customHeight="1" x14ac:dyDescent="0.25">
      <c r="A206" s="26"/>
      <c r="B206" s="26"/>
      <c r="C206" s="26"/>
      <c r="D206" s="26"/>
      <c r="E206" s="26"/>
      <c r="F206" s="26"/>
      <c r="G206" s="26"/>
      <c r="H206" s="26"/>
    </row>
    <row r="207" spans="1:14" ht="20.100000000000001" customHeight="1" x14ac:dyDescent="0.25">
      <c r="A207" s="71" t="s">
        <v>1</v>
      </c>
      <c r="B207" s="137" t="s">
        <v>2</v>
      </c>
      <c r="C207" s="137"/>
      <c r="D207" s="26"/>
      <c r="E207" s="130" t="s">
        <v>6</v>
      </c>
      <c r="F207" s="130"/>
      <c r="G207" s="59"/>
      <c r="H207" s="70">
        <v>0.3</v>
      </c>
      <c r="I207" s="16"/>
      <c r="L207" s="1" t="s">
        <v>4</v>
      </c>
      <c r="M207" s="1" t="s">
        <v>8</v>
      </c>
      <c r="N207" s="1" t="s">
        <v>7</v>
      </c>
    </row>
    <row r="208" spans="1:14" ht="20.100000000000001" customHeight="1" x14ac:dyDescent="0.25">
      <c r="A208" s="72">
        <v>1</v>
      </c>
      <c r="B208" s="60"/>
      <c r="C208" s="60">
        <f>R4</f>
        <v>646.05706734735031</v>
      </c>
      <c r="D208" s="2">
        <v>1</v>
      </c>
      <c r="E208" s="26"/>
      <c r="F208" s="26"/>
      <c r="G208" s="26"/>
      <c r="H208" s="26"/>
      <c r="L208" s="1">
        <f>H209</f>
        <v>527.76841070623107</v>
      </c>
      <c r="M208" s="1">
        <f>H210</f>
        <v>686.09893391810044</v>
      </c>
      <c r="N208" s="1">
        <f>H211</f>
        <v>369.43788749436175</v>
      </c>
    </row>
    <row r="209" spans="1:14" ht="20.100000000000001" customHeight="1" x14ac:dyDescent="0.25">
      <c r="A209" s="72">
        <v>2</v>
      </c>
      <c r="B209" s="59"/>
      <c r="C209" s="59">
        <f>R5</f>
        <v>461.34537697354864</v>
      </c>
      <c r="D209" s="2">
        <v>2</v>
      </c>
      <c r="E209" s="130" t="s">
        <v>4</v>
      </c>
      <c r="F209" s="130"/>
      <c r="G209" s="59"/>
      <c r="H209" s="59">
        <f>AVERAGE(C208:C210)</f>
        <v>527.76841070623107</v>
      </c>
      <c r="L209" s="1">
        <f>L208</f>
        <v>527.76841070623107</v>
      </c>
      <c r="M209" s="1">
        <f t="shared" ref="M209:N209" si="0">M208</f>
        <v>686.09893391810044</v>
      </c>
      <c r="N209" s="1">
        <f t="shared" si="0"/>
        <v>369.43788749436175</v>
      </c>
    </row>
    <row r="210" spans="1:14" ht="20.100000000000001" customHeight="1" x14ac:dyDescent="0.25">
      <c r="A210" s="72">
        <v>3</v>
      </c>
      <c r="B210" s="60"/>
      <c r="C210" s="60">
        <f>R6</f>
        <v>475.90278779779419</v>
      </c>
      <c r="D210" s="2">
        <v>3</v>
      </c>
      <c r="E210" s="130" t="s">
        <v>8</v>
      </c>
      <c r="F210" s="130"/>
      <c r="G210" s="59"/>
      <c r="H210" s="59">
        <f>H209*(1+H207)</f>
        <v>686.09893391810044</v>
      </c>
      <c r="L210" s="1">
        <f>L209</f>
        <v>527.76841070623107</v>
      </c>
      <c r="M210" s="1">
        <f t="shared" ref="M210" si="1">M209</f>
        <v>686.09893391810044</v>
      </c>
      <c r="N210" s="1">
        <f t="shared" ref="N210" si="2">N209</f>
        <v>369.43788749436175</v>
      </c>
    </row>
    <row r="211" spans="1:14" ht="20.100000000000001" customHeight="1" x14ac:dyDescent="0.25">
      <c r="A211" s="26"/>
      <c r="B211" s="26"/>
      <c r="C211" s="26"/>
      <c r="D211" s="26"/>
      <c r="E211" s="130" t="s">
        <v>7</v>
      </c>
      <c r="F211" s="130"/>
      <c r="G211" s="59"/>
      <c r="H211" s="59">
        <f>H209*(1-H207)</f>
        <v>369.43788749436175</v>
      </c>
    </row>
    <row r="212" spans="1:14" ht="20.100000000000001" customHeight="1" x14ac:dyDescent="0.25">
      <c r="A212" s="26"/>
      <c r="B212" s="26"/>
      <c r="C212" s="26"/>
      <c r="D212" s="26"/>
      <c r="E212" s="130" t="s">
        <v>10</v>
      </c>
      <c r="F212" s="130"/>
      <c r="G212" s="59"/>
      <c r="H212" s="59">
        <f>MAX(C208:C210)</f>
        <v>646.05706734735031</v>
      </c>
    </row>
    <row r="213" spans="1:14" ht="20.100000000000001" customHeight="1" x14ac:dyDescent="0.25">
      <c r="A213" s="26"/>
      <c r="B213" s="26"/>
      <c r="C213" s="26"/>
      <c r="D213" s="26"/>
      <c r="E213" s="130" t="s">
        <v>9</v>
      </c>
      <c r="F213" s="130"/>
      <c r="G213" s="59"/>
      <c r="H213" s="59">
        <f>MIN(C208:C219)</f>
        <v>461.34537697354864</v>
      </c>
    </row>
    <row r="214" spans="1:14" ht="20.100000000000001" customHeight="1" x14ac:dyDescent="0.25">
      <c r="A214" s="26"/>
      <c r="B214" s="26"/>
      <c r="C214" s="26"/>
      <c r="D214" s="26"/>
      <c r="E214" s="26"/>
      <c r="F214" s="26"/>
      <c r="G214" s="26"/>
      <c r="H214" s="26"/>
    </row>
    <row r="215" spans="1:14" ht="20.100000000000001" customHeight="1" x14ac:dyDescent="0.25">
      <c r="A215" s="26"/>
      <c r="B215" s="26"/>
      <c r="C215" s="26"/>
      <c r="D215" s="26"/>
      <c r="E215" s="59" t="s">
        <v>14</v>
      </c>
      <c r="F215" s="62" t="str">
        <f>IF(H215="Nada a excluir","",J215)</f>
        <v/>
      </c>
      <c r="G215" s="59"/>
      <c r="H215" s="59" t="str" cm="1">
        <f t="array" ref="H215">_xlfn.IFS(AND(OR(H212&gt;H210,H213&lt;H211),(H212-H209)&gt;(H209-H213)),H212,AND(OR(H213&lt;H211,H212&gt;H210),(H209-H213)&gt;(H212-H209)),H213,AND(H212&lt;=H210,H213&gt;=H211),"Nada a excluir")</f>
        <v>Nada a excluir</v>
      </c>
      <c r="J215" s="2" t="str">
        <f>IFERROR("",VLOOKUP(H215,C208:D210,2,0))</f>
        <v/>
      </c>
    </row>
    <row r="216" spans="1:14" ht="20.100000000000001" customHeight="1" x14ac:dyDescent="0.25">
      <c r="A216" s="26"/>
      <c r="B216" s="26"/>
      <c r="C216" s="26"/>
      <c r="D216" s="26"/>
      <c r="E216" s="60" t="s">
        <v>13</v>
      </c>
      <c r="F216" s="60"/>
      <c r="G216" s="59"/>
      <c r="H216" s="60" t="str">
        <f>IF(H215="Nada a excluir","Encerrar","Continuar")</f>
        <v>Encerrar</v>
      </c>
    </row>
    <row r="217" spans="1:14" ht="20.100000000000001" customHeight="1" x14ac:dyDescent="0.25">
      <c r="A217" s="26"/>
      <c r="B217" s="26"/>
      <c r="C217" s="26"/>
      <c r="D217" s="26"/>
      <c r="E217" s="26"/>
      <c r="F217" s="26"/>
      <c r="G217" s="26"/>
      <c r="H217" s="26"/>
    </row>
    <row r="218" spans="1:14" ht="20.100000000000001" customHeight="1" x14ac:dyDescent="0.25">
      <c r="A218" s="26"/>
      <c r="B218" s="26"/>
      <c r="C218" s="26"/>
      <c r="D218" s="26"/>
      <c r="E218" s="130" t="s">
        <v>11</v>
      </c>
      <c r="F218" s="130"/>
      <c r="G218" s="59"/>
      <c r="H218" s="59">
        <f>STDEVA(C208:C210)</f>
        <v>102.69924181778077</v>
      </c>
    </row>
    <row r="219" spans="1:14" ht="20.100000000000001" customHeight="1" x14ac:dyDescent="0.25">
      <c r="A219" s="26"/>
      <c r="B219" s="26"/>
      <c r="C219" s="26"/>
      <c r="D219" s="26"/>
      <c r="E219" s="130" t="s">
        <v>3</v>
      </c>
      <c r="F219" s="130"/>
      <c r="G219" s="59"/>
      <c r="H219" s="67">
        <f>H218/H209</f>
        <v>0.19459149076458407</v>
      </c>
      <c r="I219" s="17"/>
    </row>
    <row r="220" spans="1:14" ht="20.100000000000001" customHeight="1" x14ac:dyDescent="0.25">
      <c r="A220" s="26"/>
      <c r="B220" s="26"/>
      <c r="C220" s="26"/>
      <c r="D220" s="26"/>
      <c r="E220" s="26"/>
      <c r="F220" s="26"/>
      <c r="G220" s="26"/>
      <c r="H220" s="26"/>
    </row>
    <row r="221" spans="1:14" ht="20.100000000000001" customHeight="1" x14ac:dyDescent="0.25">
      <c r="A221" s="26"/>
      <c r="B221" s="26"/>
      <c r="C221" s="26"/>
      <c r="D221" s="26"/>
      <c r="E221" s="26"/>
      <c r="F221" s="26"/>
      <c r="G221" s="26"/>
      <c r="H221" s="26"/>
    </row>
    <row r="222" spans="1:14" ht="20.100000000000001" customHeight="1" x14ac:dyDescent="0.25">
      <c r="A222" s="26"/>
      <c r="B222" s="26"/>
      <c r="C222" s="26"/>
      <c r="D222" s="26"/>
      <c r="E222" s="26"/>
      <c r="F222" s="26"/>
      <c r="G222" s="26"/>
      <c r="H222" s="26"/>
    </row>
    <row r="223" spans="1:14" ht="20.100000000000001" customHeight="1" x14ac:dyDescent="0.25">
      <c r="A223" s="26"/>
      <c r="B223" s="26"/>
      <c r="C223" s="26"/>
      <c r="D223" s="26"/>
      <c r="E223" s="26"/>
      <c r="F223" s="26"/>
      <c r="G223" s="26"/>
      <c r="H223" s="26"/>
    </row>
    <row r="224" spans="1:14" ht="20.100000000000001" customHeight="1" x14ac:dyDescent="0.25">
      <c r="A224" s="26"/>
      <c r="B224" s="26"/>
      <c r="C224" s="26"/>
      <c r="D224" s="26"/>
      <c r="E224" s="26"/>
      <c r="F224" s="26"/>
      <c r="G224" s="26"/>
      <c r="H224" s="26"/>
    </row>
    <row r="225" spans="1:20" ht="20.100000000000001" customHeight="1" x14ac:dyDescent="0.25">
      <c r="A225" s="26"/>
      <c r="B225" s="26"/>
      <c r="C225" s="26"/>
      <c r="D225" s="26"/>
      <c r="E225" s="26"/>
      <c r="F225" s="26"/>
      <c r="G225" s="26"/>
      <c r="H225" s="26"/>
    </row>
    <row r="226" spans="1:20" ht="20.100000000000001" customHeight="1" x14ac:dyDescent="0.25">
      <c r="A226" s="26"/>
      <c r="B226" s="26"/>
      <c r="C226" s="26"/>
      <c r="D226" s="26"/>
      <c r="E226" s="26"/>
      <c r="F226" s="26"/>
      <c r="G226" s="26"/>
      <c r="H226" s="26"/>
    </row>
    <row r="227" spans="1:20" ht="20.100000000000001" customHeight="1" x14ac:dyDescent="0.25">
      <c r="A227" s="26"/>
      <c r="B227" s="26"/>
      <c r="C227" s="26"/>
      <c r="D227" s="26"/>
      <c r="E227" s="26"/>
      <c r="F227" s="26"/>
      <c r="G227" s="26"/>
      <c r="H227" s="26"/>
    </row>
    <row r="228" spans="1:20" ht="20.100000000000001" customHeight="1" x14ac:dyDescent="0.25">
      <c r="A228" s="26"/>
      <c r="B228" s="26"/>
      <c r="C228" s="26"/>
      <c r="D228" s="26"/>
      <c r="E228" s="26"/>
      <c r="F228" s="26"/>
      <c r="G228" s="26"/>
      <c r="H228" s="26"/>
    </row>
    <row r="229" spans="1:20" ht="20.100000000000001" customHeight="1" x14ac:dyDescent="0.25">
      <c r="A229" s="26"/>
      <c r="B229" s="26"/>
      <c r="C229" s="26"/>
      <c r="D229" s="26"/>
      <c r="E229" s="26"/>
      <c r="F229" s="26"/>
      <c r="G229" s="26"/>
      <c r="H229" s="26"/>
    </row>
    <row r="230" spans="1:20" ht="20.100000000000001" customHeight="1" x14ac:dyDescent="0.25">
      <c r="A230" s="26"/>
      <c r="B230" s="26"/>
      <c r="C230" s="26"/>
      <c r="D230" s="26"/>
      <c r="E230" s="26"/>
      <c r="F230" s="26"/>
      <c r="G230" s="26"/>
      <c r="H230" s="26"/>
    </row>
    <row r="231" spans="1:20" ht="20.100000000000001" customHeight="1" x14ac:dyDescent="0.25">
      <c r="A231" s="26"/>
      <c r="B231" s="26"/>
      <c r="C231" s="26"/>
      <c r="D231" s="26"/>
      <c r="E231" s="26"/>
      <c r="F231" s="26"/>
      <c r="G231" s="26"/>
      <c r="H231" s="26"/>
    </row>
    <row r="232" spans="1:20" ht="20.100000000000001" customHeight="1" x14ac:dyDescent="0.25">
      <c r="A232" s="26"/>
      <c r="B232" s="26"/>
      <c r="C232" s="26"/>
      <c r="D232" s="26"/>
      <c r="E232" s="26"/>
      <c r="F232" s="26"/>
      <c r="G232" s="26"/>
      <c r="H232" s="26"/>
    </row>
    <row r="233" spans="1:20" ht="20.100000000000001" customHeight="1" x14ac:dyDescent="0.25">
      <c r="A233" s="26"/>
      <c r="B233" s="26"/>
      <c r="C233" s="26"/>
      <c r="D233" s="26"/>
      <c r="E233" s="26"/>
      <c r="F233" s="26"/>
      <c r="G233" s="26"/>
      <c r="H233" s="26"/>
    </row>
    <row r="234" spans="1:20" ht="20.100000000000001" customHeight="1" x14ac:dyDescent="0.25">
      <c r="A234" s="26"/>
      <c r="B234" s="26"/>
      <c r="C234" s="26"/>
      <c r="D234" s="26"/>
      <c r="E234" s="26"/>
      <c r="F234" s="26"/>
      <c r="G234" s="26"/>
      <c r="H234" s="26"/>
    </row>
    <row r="235" spans="1:20" ht="20.100000000000001" customHeight="1" x14ac:dyDescent="0.25">
      <c r="A235" s="26"/>
      <c r="B235" s="26"/>
      <c r="C235" s="26"/>
      <c r="D235" s="26"/>
      <c r="E235" s="26"/>
      <c r="F235" s="26"/>
      <c r="G235" s="26"/>
      <c r="H235" s="26"/>
    </row>
    <row r="236" spans="1:20" ht="20.100000000000001" customHeight="1" x14ac:dyDescent="0.25">
      <c r="A236" s="26"/>
      <c r="B236" s="26"/>
      <c r="C236" s="26"/>
      <c r="D236" s="26"/>
      <c r="E236" s="26"/>
      <c r="F236" s="26"/>
      <c r="G236" s="26"/>
      <c r="H236" s="26"/>
    </row>
    <row r="237" spans="1:20" ht="20.100000000000001" customHeight="1" x14ac:dyDescent="0.25">
      <c r="A237" s="26"/>
      <c r="B237" s="26"/>
      <c r="C237" s="26"/>
      <c r="D237" s="26"/>
      <c r="E237" s="26"/>
      <c r="F237" s="26"/>
      <c r="G237" s="26"/>
      <c r="H237" s="26"/>
    </row>
    <row r="238" spans="1:20" ht="20.100000000000001" customHeight="1" x14ac:dyDescent="0.25">
      <c r="A238" s="135" t="s">
        <v>15</v>
      </c>
      <c r="B238" s="135"/>
      <c r="C238" s="135"/>
      <c r="D238" s="135"/>
      <c r="E238" s="135"/>
      <c r="F238" s="135"/>
      <c r="G238" s="135"/>
      <c r="H238" s="135"/>
      <c r="I238" s="15"/>
    </row>
    <row r="239" spans="1:20" ht="20.100000000000001" customHeight="1" x14ac:dyDescent="0.25">
      <c r="A239" s="26"/>
      <c r="B239" s="26"/>
      <c r="C239" s="26"/>
      <c r="D239" s="26"/>
      <c r="E239" s="26"/>
      <c r="F239" s="26"/>
      <c r="G239" s="26"/>
      <c r="H239" s="26"/>
    </row>
    <row r="240" spans="1:20" ht="20.100000000000001" customHeight="1" x14ac:dyDescent="0.25">
      <c r="A240" s="71" t="s">
        <v>1</v>
      </c>
      <c r="B240" s="137" t="s">
        <v>2</v>
      </c>
      <c r="C240" s="137"/>
      <c r="D240" s="26"/>
      <c r="E240" s="130" t="s">
        <v>30</v>
      </c>
      <c r="F240" s="130"/>
      <c r="G240" s="130"/>
      <c r="H240" s="73">
        <v>3</v>
      </c>
      <c r="I240" s="146" t="s">
        <v>32</v>
      </c>
      <c r="J240" s="146"/>
      <c r="K240" s="146"/>
      <c r="L240" s="1" t="s">
        <v>4</v>
      </c>
      <c r="M240" s="1" t="s">
        <v>8</v>
      </c>
      <c r="N240" s="1" t="s">
        <v>7</v>
      </c>
      <c r="T240" s="1" t="s">
        <v>7</v>
      </c>
    </row>
    <row r="241" spans="1:20" ht="20.100000000000001" customHeight="1" x14ac:dyDescent="0.25">
      <c r="A241" s="72">
        <v>1</v>
      </c>
      <c r="B241" s="60"/>
      <c r="C241" s="60">
        <f>R4</f>
        <v>646.05706734735031</v>
      </c>
      <c r="D241" s="2">
        <f>A241</f>
        <v>1</v>
      </c>
      <c r="E241" s="130" t="s">
        <v>16</v>
      </c>
      <c r="F241" s="130"/>
      <c r="G241" s="130"/>
      <c r="H241" s="74">
        <f>_xlfn.NORM.S.INV(1-((1/H240)/4))</f>
        <v>1.3829941271006372</v>
      </c>
      <c r="I241" s="18"/>
      <c r="L241" s="1">
        <f>H243</f>
        <v>527.76841070623107</v>
      </c>
      <c r="M241" s="1">
        <f>H246</f>
        <v>669.80085899791004</v>
      </c>
      <c r="N241" s="1">
        <f>H247</f>
        <v>385.73596241455209</v>
      </c>
      <c r="O241" s="78"/>
      <c r="T241" s="1">
        <f>$H$247</f>
        <v>385.73596241455209</v>
      </c>
    </row>
    <row r="242" spans="1:20" ht="20.100000000000001" customHeight="1" x14ac:dyDescent="0.25">
      <c r="A242" s="72">
        <v>2</v>
      </c>
      <c r="B242" s="59"/>
      <c r="C242" s="59">
        <f>R5</f>
        <v>461.34537697354864</v>
      </c>
      <c r="D242" s="2">
        <f>A242</f>
        <v>2</v>
      </c>
      <c r="E242" s="26"/>
      <c r="F242" s="26"/>
      <c r="G242" s="26"/>
      <c r="H242" s="26"/>
      <c r="L242" s="1">
        <f>L241</f>
        <v>527.76841070623107</v>
      </c>
      <c r="M242" s="1">
        <f t="shared" ref="M242:N242" si="3">M241</f>
        <v>669.80085899791004</v>
      </c>
      <c r="N242" s="1">
        <f t="shared" si="3"/>
        <v>385.73596241455209</v>
      </c>
      <c r="T242" s="1">
        <f>$H$247</f>
        <v>385.73596241455209</v>
      </c>
    </row>
    <row r="243" spans="1:20" ht="20.100000000000001" customHeight="1" x14ac:dyDescent="0.25">
      <c r="A243" s="72">
        <v>3</v>
      </c>
      <c r="B243" s="60"/>
      <c r="C243" s="60">
        <f>R6</f>
        <v>475.90278779779419</v>
      </c>
      <c r="D243" s="2">
        <f>A243</f>
        <v>3</v>
      </c>
      <c r="E243" s="130" t="s">
        <v>4</v>
      </c>
      <c r="F243" s="130"/>
      <c r="G243" s="130"/>
      <c r="H243" s="59">
        <f>AVERAGE(C241:C243)</f>
        <v>527.76841070623107</v>
      </c>
      <c r="L243" s="1">
        <f>L241</f>
        <v>527.76841070623107</v>
      </c>
      <c r="M243" s="1">
        <f t="shared" ref="M243:N243" si="4">M241</f>
        <v>669.80085899791004</v>
      </c>
      <c r="N243" s="1">
        <f t="shared" si="4"/>
        <v>385.73596241455209</v>
      </c>
    </row>
    <row r="244" spans="1:20" ht="20.100000000000001" customHeight="1" x14ac:dyDescent="0.25">
      <c r="A244" s="26"/>
      <c r="B244" s="26"/>
      <c r="C244" s="26"/>
      <c r="D244" s="26"/>
      <c r="E244" s="130" t="s">
        <v>5</v>
      </c>
      <c r="F244" s="130"/>
      <c r="G244" s="130"/>
      <c r="H244" s="59">
        <f>STDEVA(C241:C243)</f>
        <v>102.69924181778077</v>
      </c>
    </row>
    <row r="245" spans="1:20" ht="20.100000000000001" customHeight="1" x14ac:dyDescent="0.25">
      <c r="A245" s="26"/>
      <c r="B245" s="26"/>
      <c r="C245" s="26"/>
      <c r="D245" s="26"/>
      <c r="E245" s="26"/>
      <c r="F245" s="26"/>
      <c r="G245" s="26"/>
      <c r="H245" s="26"/>
    </row>
    <row r="246" spans="1:20" ht="20.100000000000001" customHeight="1" x14ac:dyDescent="0.25">
      <c r="A246" s="26"/>
      <c r="B246" s="26"/>
      <c r="C246" s="26"/>
      <c r="D246" s="26"/>
      <c r="E246" s="130" t="s">
        <v>8</v>
      </c>
      <c r="F246" s="130"/>
      <c r="G246" s="130"/>
      <c r="H246" s="59">
        <f>H243+(H241*H244)</f>
        <v>669.80085899791004</v>
      </c>
    </row>
    <row r="247" spans="1:20" ht="20.100000000000001" customHeight="1" x14ac:dyDescent="0.25">
      <c r="A247" s="26"/>
      <c r="B247" s="26"/>
      <c r="C247" s="26"/>
      <c r="D247" s="26"/>
      <c r="E247" s="130" t="s">
        <v>7</v>
      </c>
      <c r="F247" s="130"/>
      <c r="G247" s="130"/>
      <c r="H247" s="59">
        <f>H243-(H241*H244)</f>
        <v>385.73596241455209</v>
      </c>
    </row>
    <row r="248" spans="1:20" ht="20.100000000000001" customHeight="1" x14ac:dyDescent="0.25">
      <c r="A248" s="26"/>
      <c r="B248" s="26"/>
      <c r="C248" s="26"/>
      <c r="D248" s="26"/>
      <c r="E248" s="130" t="s">
        <v>10</v>
      </c>
      <c r="F248" s="130"/>
      <c r="G248" s="130"/>
      <c r="H248" s="59">
        <f>MAX(C241:C243)</f>
        <v>646.05706734735031</v>
      </c>
    </row>
    <row r="249" spans="1:20" ht="20.100000000000001" customHeight="1" x14ac:dyDescent="0.25">
      <c r="A249" s="26"/>
      <c r="B249" s="26"/>
      <c r="C249" s="26"/>
      <c r="D249" s="26"/>
      <c r="E249" s="130" t="s">
        <v>9</v>
      </c>
      <c r="F249" s="130"/>
      <c r="G249" s="130"/>
      <c r="H249" s="59">
        <f>MIN(C241:C243)</f>
        <v>461.34537697354864</v>
      </c>
    </row>
    <row r="250" spans="1:20" ht="20.100000000000001" customHeight="1" x14ac:dyDescent="0.25">
      <c r="A250" s="26"/>
      <c r="B250" s="26"/>
      <c r="C250" s="26"/>
      <c r="D250" s="26"/>
      <c r="E250" s="26"/>
      <c r="F250" s="26"/>
      <c r="G250" s="26"/>
      <c r="H250" s="26"/>
    </row>
    <row r="251" spans="1:20" ht="20.100000000000001" customHeight="1" x14ac:dyDescent="0.25">
      <c r="A251" s="26"/>
      <c r="B251" s="26"/>
      <c r="C251" s="26"/>
      <c r="D251" s="26"/>
      <c r="E251" s="59" t="s">
        <v>14</v>
      </c>
      <c r="F251" s="59" t="str">
        <f>IF(H251="Nada a excluir","",J251)</f>
        <v/>
      </c>
      <c r="G251" s="59"/>
      <c r="H251" s="59" t="str" cm="1">
        <f t="array" ref="H251">_xlfn.IFS(AND(OR(H248&gt;H246,H249&lt;H247),(H248-H243)&gt;(H243-H249)),H248,AND(OR(H249&lt;H247,H248&gt;H246),(H243-H249)&gt;(H248-H243)),H249,AND(H248&lt;=H246,H249&gt;=H247),"Nada a excluir")</f>
        <v>Nada a excluir</v>
      </c>
      <c r="J251" s="1" t="str">
        <f>IFERROR("",VLOOKUP(H251,C241:D243,2,0))</f>
        <v/>
      </c>
    </row>
    <row r="252" spans="1:20" ht="20.100000000000001" customHeight="1" x14ac:dyDescent="0.25">
      <c r="A252" s="26"/>
      <c r="B252" s="26"/>
      <c r="C252" s="26"/>
      <c r="D252" s="26"/>
      <c r="E252" s="60" t="s">
        <v>13</v>
      </c>
      <c r="F252" s="60"/>
      <c r="G252" s="60"/>
      <c r="H252" s="60" t="str">
        <f>IF(H251="Nada a excluir","Encerrar","Continuar")</f>
        <v>Encerrar</v>
      </c>
    </row>
    <row r="253" spans="1:20" ht="20.100000000000001" customHeight="1" x14ac:dyDescent="0.25">
      <c r="A253" s="26"/>
      <c r="B253" s="26"/>
      <c r="C253" s="26"/>
      <c r="D253" s="26"/>
      <c r="E253" s="26"/>
      <c r="F253" s="26"/>
      <c r="G253" s="26"/>
      <c r="H253" s="26"/>
    </row>
    <row r="254" spans="1:20" ht="20.100000000000001" customHeight="1" x14ac:dyDescent="0.25">
      <c r="A254" s="26"/>
      <c r="B254" s="26"/>
      <c r="C254" s="26"/>
      <c r="D254" s="26"/>
      <c r="E254" s="130" t="s">
        <v>11</v>
      </c>
      <c r="F254" s="130"/>
      <c r="G254" s="59"/>
      <c r="H254" s="59">
        <f>H244</f>
        <v>102.69924181778077</v>
      </c>
    </row>
    <row r="255" spans="1:20" ht="20.100000000000001" customHeight="1" x14ac:dyDescent="0.25">
      <c r="A255" s="26"/>
      <c r="B255" s="26"/>
      <c r="C255" s="26"/>
      <c r="D255" s="26"/>
      <c r="E255" s="130" t="s">
        <v>3</v>
      </c>
      <c r="F255" s="130"/>
      <c r="G255" s="60"/>
      <c r="H255" s="67">
        <f>H244/H243</f>
        <v>0.19459149076458407</v>
      </c>
      <c r="I255" s="17"/>
    </row>
    <row r="256" spans="1:20" ht="20.100000000000001" customHeight="1" x14ac:dyDescent="0.25">
      <c r="A256" s="26"/>
      <c r="B256" s="26"/>
      <c r="C256" s="26"/>
      <c r="D256" s="26"/>
      <c r="E256" s="26"/>
      <c r="F256" s="26"/>
      <c r="G256" s="26"/>
      <c r="H256" s="75"/>
      <c r="I256" s="17"/>
    </row>
    <row r="257" spans="1:9" ht="20.100000000000001" customHeight="1" x14ac:dyDescent="0.25">
      <c r="A257" s="26"/>
      <c r="B257" s="26"/>
      <c r="C257" s="26"/>
      <c r="D257" s="26"/>
      <c r="E257" s="26"/>
      <c r="F257" s="26"/>
      <c r="G257" s="26"/>
      <c r="H257" s="75"/>
      <c r="I257" s="17"/>
    </row>
    <row r="258" spans="1:9" ht="20.100000000000001" customHeight="1" x14ac:dyDescent="0.25">
      <c r="A258" s="26"/>
      <c r="B258" s="26"/>
      <c r="C258" s="26"/>
      <c r="D258" s="26"/>
      <c r="E258" s="26"/>
      <c r="F258" s="26"/>
      <c r="G258" s="26"/>
      <c r="H258" s="75"/>
      <c r="I258" s="17"/>
    </row>
    <row r="259" spans="1:9" ht="20.100000000000001" customHeight="1" x14ac:dyDescent="0.25">
      <c r="A259" s="26"/>
      <c r="B259" s="26"/>
      <c r="C259" s="26"/>
      <c r="D259" s="26"/>
      <c r="E259" s="26"/>
      <c r="F259" s="26"/>
      <c r="G259" s="26"/>
      <c r="H259" s="75"/>
      <c r="I259" s="17"/>
    </row>
    <row r="260" spans="1:9" ht="20.100000000000001" customHeight="1" x14ac:dyDescent="0.25">
      <c r="A260" s="26"/>
      <c r="B260" s="26"/>
      <c r="C260" s="26"/>
      <c r="D260" s="26"/>
      <c r="E260" s="26"/>
      <c r="F260" s="26"/>
      <c r="G260" s="26"/>
      <c r="H260" s="75"/>
      <c r="I260" s="17"/>
    </row>
    <row r="261" spans="1:9" ht="20.100000000000001" customHeight="1" x14ac:dyDescent="0.25">
      <c r="A261" s="26"/>
      <c r="B261" s="26"/>
      <c r="C261" s="26"/>
      <c r="D261" s="26"/>
      <c r="E261" s="26"/>
      <c r="F261" s="26"/>
      <c r="G261" s="26"/>
      <c r="H261" s="75"/>
      <c r="I261" s="17"/>
    </row>
    <row r="262" spans="1:9" ht="20.100000000000001" customHeight="1" x14ac:dyDescent="0.25">
      <c r="A262" s="26"/>
      <c r="B262" s="26"/>
      <c r="C262" s="26"/>
      <c r="D262" s="26"/>
      <c r="E262" s="26"/>
      <c r="F262" s="26"/>
      <c r="G262" s="26"/>
      <c r="H262" s="75"/>
      <c r="I262" s="17"/>
    </row>
    <row r="263" spans="1:9" ht="20.100000000000001" customHeight="1" x14ac:dyDescent="0.25">
      <c r="A263" s="26"/>
      <c r="B263" s="26"/>
      <c r="C263" s="26"/>
      <c r="D263" s="26"/>
      <c r="E263" s="26"/>
      <c r="F263" s="26"/>
      <c r="G263" s="26"/>
      <c r="H263" s="75"/>
      <c r="I263" s="17"/>
    </row>
    <row r="264" spans="1:9" ht="20.100000000000001" customHeight="1" x14ac:dyDescent="0.25">
      <c r="A264" s="26"/>
      <c r="B264" s="26"/>
      <c r="C264" s="26"/>
      <c r="D264" s="26"/>
      <c r="E264" s="26"/>
      <c r="F264" s="26"/>
      <c r="G264" s="26"/>
      <c r="H264" s="75"/>
      <c r="I264" s="17"/>
    </row>
    <row r="265" spans="1:9" ht="20.100000000000001" customHeight="1" x14ac:dyDescent="0.25">
      <c r="A265" s="26"/>
      <c r="B265" s="26"/>
      <c r="C265" s="26"/>
      <c r="D265" s="26"/>
      <c r="E265" s="26"/>
      <c r="F265" s="26"/>
      <c r="G265" s="26"/>
      <c r="H265" s="75"/>
      <c r="I265" s="17"/>
    </row>
    <row r="266" spans="1:9" ht="20.100000000000001" customHeight="1" x14ac:dyDescent="0.25">
      <c r="A266" s="26"/>
      <c r="B266" s="26"/>
      <c r="C266" s="26"/>
      <c r="D266" s="26"/>
      <c r="E266" s="26"/>
      <c r="F266" s="26"/>
      <c r="G266" s="26"/>
      <c r="H266" s="75"/>
      <c r="I266" s="17"/>
    </row>
    <row r="267" spans="1:9" ht="20.100000000000001" customHeight="1" x14ac:dyDescent="0.25">
      <c r="A267" s="26"/>
      <c r="B267" s="26"/>
      <c r="C267" s="26"/>
      <c r="D267" s="26"/>
      <c r="E267" s="26"/>
      <c r="F267" s="26"/>
      <c r="G267" s="26"/>
      <c r="H267" s="75"/>
      <c r="I267" s="17"/>
    </row>
    <row r="268" spans="1:9" ht="20.100000000000001" customHeight="1" x14ac:dyDescent="0.25">
      <c r="A268" s="26"/>
      <c r="B268" s="26"/>
      <c r="C268" s="26"/>
      <c r="D268" s="26"/>
      <c r="E268" s="26"/>
      <c r="F268" s="26"/>
      <c r="G268" s="26"/>
      <c r="H268" s="75"/>
      <c r="I268" s="17"/>
    </row>
    <row r="269" spans="1:9" ht="20.100000000000001" customHeight="1" x14ac:dyDescent="0.25">
      <c r="A269" s="26"/>
      <c r="B269" s="26"/>
      <c r="C269" s="26"/>
      <c r="D269" s="26"/>
      <c r="E269" s="26"/>
      <c r="F269" s="26"/>
      <c r="G269" s="26"/>
      <c r="H269" s="75"/>
      <c r="I269" s="17"/>
    </row>
    <row r="270" spans="1:9" ht="20.100000000000001" customHeight="1" x14ac:dyDescent="0.25">
      <c r="A270" s="26"/>
      <c r="B270" s="26"/>
      <c r="C270" s="26"/>
      <c r="D270" s="26"/>
      <c r="E270" s="26"/>
      <c r="F270" s="26"/>
      <c r="G270" s="26"/>
      <c r="H270" s="75"/>
      <c r="I270" s="17"/>
    </row>
    <row r="271" spans="1:9" ht="20.100000000000001" customHeight="1" x14ac:dyDescent="0.25">
      <c r="A271" s="26"/>
      <c r="B271" s="26"/>
      <c r="C271" s="26"/>
      <c r="D271" s="26"/>
      <c r="E271" s="26"/>
      <c r="F271" s="26"/>
      <c r="G271" s="26"/>
      <c r="H271" s="75"/>
      <c r="I271" s="17"/>
    </row>
    <row r="272" spans="1:9" ht="20.100000000000001" customHeight="1" x14ac:dyDescent="0.25">
      <c r="A272" s="26"/>
      <c r="B272" s="26"/>
      <c r="C272" s="26"/>
      <c r="D272" s="26"/>
      <c r="E272" s="26"/>
      <c r="F272" s="26"/>
      <c r="G272" s="26"/>
      <c r="H272" s="75"/>
      <c r="I272" s="17"/>
    </row>
    <row r="273" spans="1:14" ht="20.100000000000001" customHeight="1" x14ac:dyDescent="0.25">
      <c r="A273" s="26"/>
      <c r="B273" s="26"/>
      <c r="C273" s="26"/>
      <c r="D273" s="26"/>
      <c r="E273" s="26"/>
      <c r="F273" s="26"/>
      <c r="G273" s="26"/>
      <c r="H273" s="26"/>
    </row>
    <row r="274" spans="1:14" ht="20.100000000000001" customHeight="1" x14ac:dyDescent="0.25">
      <c r="A274" s="135" t="s">
        <v>17</v>
      </c>
      <c r="B274" s="135"/>
      <c r="C274" s="135"/>
      <c r="D274" s="135"/>
      <c r="E274" s="135"/>
      <c r="F274" s="135"/>
      <c r="G274" s="135"/>
      <c r="H274" s="135"/>
      <c r="I274" s="15"/>
    </row>
    <row r="275" spans="1:14" ht="20.100000000000001" customHeight="1" x14ac:dyDescent="0.25">
      <c r="A275" s="26"/>
      <c r="B275" s="26"/>
      <c r="C275" s="26"/>
      <c r="E275" s="26"/>
      <c r="F275" s="26"/>
      <c r="G275" s="26"/>
      <c r="H275" s="26"/>
    </row>
    <row r="276" spans="1:14" ht="20.100000000000001" customHeight="1" x14ac:dyDescent="0.25">
      <c r="A276" s="71" t="s">
        <v>1</v>
      </c>
      <c r="B276" s="137" t="s">
        <v>2</v>
      </c>
      <c r="C276" s="137"/>
      <c r="E276" s="130" t="s">
        <v>30</v>
      </c>
      <c r="F276" s="130"/>
      <c r="G276" s="130"/>
      <c r="H276" s="73">
        <v>3</v>
      </c>
      <c r="I276" s="146" t="s">
        <v>32</v>
      </c>
      <c r="J276" s="146"/>
      <c r="K276" s="146"/>
      <c r="L276" s="1" t="s">
        <v>4</v>
      </c>
      <c r="M276" s="1" t="s">
        <v>8</v>
      </c>
      <c r="N276" s="1" t="s">
        <v>7</v>
      </c>
    </row>
    <row r="277" spans="1:14" ht="20.100000000000001" customHeight="1" x14ac:dyDescent="0.25">
      <c r="A277" s="72">
        <v>1</v>
      </c>
      <c r="B277" s="60"/>
      <c r="C277" s="60">
        <f>R4</f>
        <v>646.05706734735031</v>
      </c>
      <c r="D277" s="2">
        <f>A277</f>
        <v>1</v>
      </c>
      <c r="E277" s="130" t="s">
        <v>18</v>
      </c>
      <c r="F277" s="130"/>
      <c r="G277" s="130"/>
      <c r="H277" s="76" cm="1">
        <f t="array" ref="H277">_xlfn.IFS(H276&lt;=5,0.1,AND(H276&gt;=6,H276&lt;=10),0.05,AND(H276&gt;=11,H276&lt;=50),0.01,H276&gt;50,0.001)</f>
        <v>0.1</v>
      </c>
      <c r="I277" s="17"/>
      <c r="L277" s="1">
        <f>H281</f>
        <v>527.76841070623107</v>
      </c>
      <c r="M277" s="1">
        <f>H284</f>
        <v>671.21894240834797</v>
      </c>
      <c r="N277" s="1">
        <f>H285</f>
        <v>384.31787900411416</v>
      </c>
    </row>
    <row r="278" spans="1:14" ht="20.100000000000001" customHeight="1" x14ac:dyDescent="0.25">
      <c r="A278" s="72">
        <v>2</v>
      </c>
      <c r="B278" s="59"/>
      <c r="C278" s="59">
        <f>R5</f>
        <v>461.34537697354864</v>
      </c>
      <c r="D278" s="2">
        <f>A278</f>
        <v>2</v>
      </c>
      <c r="E278" s="130" t="s">
        <v>19</v>
      </c>
      <c r="F278" s="130"/>
      <c r="G278" s="130"/>
      <c r="H278" s="77">
        <f>H276-2</f>
        <v>1</v>
      </c>
      <c r="I278" s="19"/>
      <c r="L278" s="1">
        <f>L277</f>
        <v>527.76841070623107</v>
      </c>
      <c r="M278" s="1">
        <f t="shared" ref="M278:N278" si="5">M277</f>
        <v>671.21894240834797</v>
      </c>
      <c r="N278" s="1">
        <f t="shared" si="5"/>
        <v>384.31787900411416</v>
      </c>
    </row>
    <row r="279" spans="1:14" ht="20.100000000000001" customHeight="1" x14ac:dyDescent="0.25">
      <c r="A279" s="72">
        <v>3</v>
      </c>
      <c r="B279" s="60"/>
      <c r="C279" s="60">
        <f>R6</f>
        <v>475.90278779779419</v>
      </c>
      <c r="D279" s="2">
        <f>A279</f>
        <v>3</v>
      </c>
      <c r="E279" s="130" t="s">
        <v>16</v>
      </c>
      <c r="F279" s="130"/>
      <c r="G279" s="130"/>
      <c r="H279" s="74">
        <f>N290</f>
        <v>1.3968022466674204</v>
      </c>
      <c r="I279" s="18"/>
      <c r="L279" s="1">
        <f>L277</f>
        <v>527.76841070623107</v>
      </c>
      <c r="M279" s="1">
        <f t="shared" ref="M279:N279" si="6">M277</f>
        <v>671.21894240834797</v>
      </c>
      <c r="N279" s="1">
        <f t="shared" si="6"/>
        <v>384.31787900411416</v>
      </c>
    </row>
    <row r="280" spans="1:14" ht="20.100000000000001" customHeight="1" x14ac:dyDescent="0.25">
      <c r="A280" s="26"/>
      <c r="B280" s="26"/>
      <c r="C280" s="26"/>
      <c r="E280" s="26"/>
      <c r="F280" s="26"/>
      <c r="G280" s="26"/>
      <c r="H280" s="26"/>
    </row>
    <row r="281" spans="1:14" ht="20.100000000000001" customHeight="1" x14ac:dyDescent="0.25">
      <c r="A281" s="26"/>
      <c r="B281" s="26"/>
      <c r="C281" s="26"/>
      <c r="D281" s="26"/>
      <c r="E281" s="130" t="s">
        <v>4</v>
      </c>
      <c r="F281" s="130"/>
      <c r="G281" s="130"/>
      <c r="H281" s="59">
        <f>AVERAGE(C277:C279)</f>
        <v>527.76841070623107</v>
      </c>
    </row>
    <row r="282" spans="1:14" ht="20.100000000000001" customHeight="1" x14ac:dyDescent="0.25">
      <c r="A282" s="26"/>
      <c r="B282" s="26"/>
      <c r="C282" s="26"/>
      <c r="D282" s="26"/>
      <c r="E282" s="130" t="s">
        <v>5</v>
      </c>
      <c r="F282" s="130"/>
      <c r="G282" s="130"/>
      <c r="H282" s="59">
        <f>STDEVA(C277:C279)</f>
        <v>102.69924181778077</v>
      </c>
    </row>
    <row r="283" spans="1:14" ht="20.100000000000001" customHeight="1" x14ac:dyDescent="0.25">
      <c r="A283" s="26"/>
      <c r="B283" s="26"/>
      <c r="C283" s="26"/>
      <c r="D283" s="26"/>
      <c r="E283" s="26"/>
      <c r="F283" s="26"/>
      <c r="G283" s="26"/>
      <c r="H283" s="26"/>
    </row>
    <row r="284" spans="1:14" ht="20.100000000000001" customHeight="1" x14ac:dyDescent="0.25">
      <c r="A284" s="26"/>
      <c r="B284" s="26"/>
      <c r="C284" s="26"/>
      <c r="D284" s="26"/>
      <c r="E284" s="130" t="s">
        <v>8</v>
      </c>
      <c r="F284" s="130"/>
      <c r="G284" s="130"/>
      <c r="H284" s="59">
        <f>H281+(H279*H282)</f>
        <v>671.21894240834797</v>
      </c>
    </row>
    <row r="285" spans="1:14" ht="20.100000000000001" customHeight="1" x14ac:dyDescent="0.25">
      <c r="A285" s="26"/>
      <c r="B285" s="26"/>
      <c r="C285" s="26"/>
      <c r="D285" s="26"/>
      <c r="E285" s="130" t="s">
        <v>7</v>
      </c>
      <c r="F285" s="130"/>
      <c r="G285" s="130"/>
      <c r="H285" s="59">
        <f>H281-(H279*H282)</f>
        <v>384.31787900411416</v>
      </c>
    </row>
    <row r="286" spans="1:14" ht="20.100000000000001" customHeight="1" x14ac:dyDescent="0.25">
      <c r="A286" s="26"/>
      <c r="B286" s="26"/>
      <c r="C286" s="26"/>
      <c r="D286" s="26"/>
      <c r="E286" s="130" t="s">
        <v>10</v>
      </c>
      <c r="F286" s="130"/>
      <c r="G286" s="130"/>
      <c r="H286" s="59">
        <f>MAX(C277:C288)</f>
        <v>646.05706734735031</v>
      </c>
    </row>
    <row r="287" spans="1:14" ht="20.100000000000001" customHeight="1" x14ac:dyDescent="0.25">
      <c r="A287" s="26"/>
      <c r="B287" s="26"/>
      <c r="C287" s="26"/>
      <c r="D287" s="26"/>
      <c r="E287" s="130" t="s">
        <v>9</v>
      </c>
      <c r="F287" s="130"/>
      <c r="G287" s="130"/>
      <c r="H287" s="59">
        <f>MIN(C277:C288)</f>
        <v>461.34537697354864</v>
      </c>
    </row>
    <row r="288" spans="1:14" ht="20.100000000000001" customHeight="1" x14ac:dyDescent="0.25">
      <c r="A288" s="26"/>
      <c r="B288" s="26"/>
      <c r="C288" s="26"/>
      <c r="D288" s="26"/>
      <c r="E288" s="26"/>
      <c r="F288" s="26"/>
      <c r="G288" s="26"/>
      <c r="H288" s="26"/>
    </row>
    <row r="289" spans="1:14" ht="20.100000000000001" customHeight="1" x14ac:dyDescent="0.25">
      <c r="A289" s="26"/>
      <c r="B289" s="26"/>
      <c r="C289" s="26"/>
      <c r="D289" s="26"/>
      <c r="E289" s="59" t="s">
        <v>14</v>
      </c>
      <c r="F289" s="59" t="str">
        <f>IF(H289="Nada a excluir","",J289)</f>
        <v/>
      </c>
      <c r="G289" s="59"/>
      <c r="H289" s="59" t="str" cm="1">
        <f t="array" ref="H289">_xlfn.IFS(AND(OR(H286&gt;H284,H287&lt;H285),(H286-H281)&gt;(H281-H287)),H286,AND(OR(H287&lt;H285,H286&gt;H284),(H281-H287)&gt;(H286-H281)),H287,AND(H286&lt;=H284,H287&gt;=H285),"Nada a excluir")</f>
        <v>Nada a excluir</v>
      </c>
      <c r="J289" s="1" t="str">
        <f>IFERROR("",VLOOKUP(H289,C277:D279,2,0))</f>
        <v/>
      </c>
      <c r="N289" s="1">
        <f>_xlfn.T.INV.2T(H277,H278)</f>
        <v>6.3137515146750438</v>
      </c>
    </row>
    <row r="290" spans="1:14" ht="20.100000000000001" customHeight="1" x14ac:dyDescent="0.25">
      <c r="A290" s="26"/>
      <c r="B290" s="26"/>
      <c r="C290" s="26"/>
      <c r="D290" s="26"/>
      <c r="E290" s="60" t="s">
        <v>13</v>
      </c>
      <c r="F290" s="60"/>
      <c r="G290" s="60"/>
      <c r="H290" s="60" t="str">
        <f>IF(H289="Nada a excluir","Encerrar","Continuar")</f>
        <v>Encerrar</v>
      </c>
      <c r="N290" s="1">
        <f>((((N289^2)*(H276))-N289^2)/(H276-2+N289^2))^(1/2)</f>
        <v>1.3968022466674204</v>
      </c>
    </row>
    <row r="291" spans="1:14" ht="20.100000000000001" customHeight="1" x14ac:dyDescent="0.25">
      <c r="A291" s="26"/>
      <c r="B291" s="26"/>
      <c r="C291" s="26"/>
      <c r="D291" s="26"/>
      <c r="E291" s="26"/>
      <c r="F291" s="26"/>
      <c r="G291" s="26"/>
      <c r="H291" s="26"/>
    </row>
    <row r="292" spans="1:14" ht="20.100000000000001" customHeight="1" x14ac:dyDescent="0.25">
      <c r="A292" s="26"/>
      <c r="B292" s="26"/>
      <c r="C292" s="26"/>
      <c r="D292" s="26"/>
      <c r="E292" s="130" t="s">
        <v>11</v>
      </c>
      <c r="F292" s="130"/>
      <c r="G292" s="130"/>
      <c r="H292" s="59">
        <f>H282</f>
        <v>102.69924181778077</v>
      </c>
    </row>
    <row r="293" spans="1:14" ht="20.100000000000001" customHeight="1" x14ac:dyDescent="0.25">
      <c r="A293" s="26"/>
      <c r="B293" s="26"/>
      <c r="C293" s="26"/>
      <c r="D293" s="26"/>
      <c r="E293" s="130" t="s">
        <v>3</v>
      </c>
      <c r="F293" s="130"/>
      <c r="G293" s="130"/>
      <c r="H293" s="67">
        <f>H282/H281</f>
        <v>0.19459149076458407</v>
      </c>
      <c r="I293" s="17"/>
    </row>
    <row r="294" spans="1:14" ht="20.100000000000001" customHeight="1" x14ac:dyDescent="0.25">
      <c r="A294" s="26"/>
      <c r="B294" s="26"/>
      <c r="C294" s="26"/>
      <c r="D294" s="26"/>
      <c r="E294" s="26"/>
      <c r="F294" s="26"/>
      <c r="G294" s="26"/>
      <c r="H294" s="26"/>
    </row>
    <row r="295" spans="1:14" ht="20.100000000000001" customHeight="1" x14ac:dyDescent="0.25">
      <c r="A295" s="26"/>
      <c r="B295" s="26"/>
      <c r="C295" s="26"/>
      <c r="D295" s="26"/>
      <c r="E295" s="26"/>
      <c r="F295" s="26"/>
      <c r="G295" s="26"/>
      <c r="H295" s="26"/>
    </row>
    <row r="296" spans="1:14" ht="20.100000000000001" customHeight="1" x14ac:dyDescent="0.25">
      <c r="A296" s="26"/>
      <c r="B296" s="26"/>
      <c r="C296" s="26"/>
      <c r="D296" s="26"/>
      <c r="E296" s="26"/>
      <c r="F296" s="26"/>
      <c r="G296" s="26"/>
      <c r="H296" s="26"/>
    </row>
    <row r="297" spans="1:14" ht="20.100000000000001" customHeight="1" x14ac:dyDescent="0.25">
      <c r="A297" s="26"/>
      <c r="B297" s="26"/>
      <c r="C297" s="26"/>
      <c r="D297" s="26"/>
      <c r="E297" s="26"/>
      <c r="F297" s="26"/>
      <c r="G297" s="26"/>
      <c r="H297" s="26"/>
    </row>
    <row r="298" spans="1:14" ht="20.100000000000001" customHeight="1" x14ac:dyDescent="0.25">
      <c r="A298" s="26"/>
      <c r="B298" s="26"/>
      <c r="C298" s="26"/>
      <c r="D298" s="26"/>
      <c r="E298" s="26"/>
      <c r="F298" s="26"/>
      <c r="G298" s="26"/>
      <c r="H298" s="26"/>
    </row>
    <row r="299" spans="1:14" ht="20.100000000000001" customHeight="1" x14ac:dyDescent="0.25">
      <c r="A299" s="26"/>
      <c r="B299" s="26"/>
      <c r="C299" s="26"/>
      <c r="D299" s="26"/>
      <c r="E299" s="26"/>
      <c r="F299" s="26"/>
      <c r="G299" s="26"/>
      <c r="H299" s="26"/>
    </row>
    <row r="300" spans="1:14" ht="20.100000000000001" customHeight="1" x14ac:dyDescent="0.25">
      <c r="A300" s="26"/>
      <c r="B300" s="26"/>
      <c r="C300" s="26"/>
      <c r="D300" s="26"/>
      <c r="E300" s="26"/>
      <c r="F300" s="26"/>
      <c r="G300" s="26"/>
      <c r="H300" s="26"/>
    </row>
    <row r="301" spans="1:14" ht="20.100000000000001" customHeight="1" x14ac:dyDescent="0.25">
      <c r="A301" s="26"/>
      <c r="B301" s="26"/>
      <c r="C301" s="26"/>
      <c r="D301" s="26"/>
      <c r="E301" s="26"/>
      <c r="F301" s="26"/>
      <c r="G301" s="26"/>
      <c r="H301" s="26"/>
    </row>
    <row r="302" spans="1:14" ht="20.100000000000001" customHeight="1" x14ac:dyDescent="0.25">
      <c r="A302" s="26"/>
      <c r="B302" s="26"/>
      <c r="C302" s="26"/>
      <c r="D302" s="26"/>
      <c r="E302" s="26"/>
      <c r="F302" s="26"/>
      <c r="G302" s="26"/>
      <c r="H302" s="26"/>
    </row>
    <row r="303" spans="1:14" ht="20.100000000000001" customHeight="1" x14ac:dyDescent="0.25">
      <c r="A303" s="26"/>
      <c r="B303" s="26"/>
      <c r="C303" s="26"/>
      <c r="D303" s="26"/>
      <c r="E303" s="26"/>
      <c r="F303" s="26"/>
      <c r="G303" s="26"/>
      <c r="H303" s="26"/>
    </row>
    <row r="304" spans="1:14" ht="20.100000000000001" customHeight="1" x14ac:dyDescent="0.25">
      <c r="A304" s="26"/>
      <c r="B304" s="26"/>
      <c r="C304" s="26"/>
      <c r="D304" s="26"/>
      <c r="E304" s="26"/>
      <c r="F304" s="26"/>
      <c r="G304" s="26"/>
      <c r="H304" s="26"/>
    </row>
    <row r="305" spans="1:17" ht="20.100000000000001" customHeight="1" x14ac:dyDescent="0.25">
      <c r="A305" s="26"/>
      <c r="B305" s="26"/>
      <c r="C305" s="26"/>
      <c r="D305" s="26"/>
      <c r="E305" s="26"/>
      <c r="F305" s="26"/>
      <c r="G305" s="26"/>
      <c r="H305" s="26"/>
    </row>
    <row r="306" spans="1:17" ht="20.100000000000001" customHeight="1" x14ac:dyDescent="0.25">
      <c r="A306" s="26"/>
      <c r="B306" s="26"/>
      <c r="C306" s="26"/>
      <c r="D306" s="26"/>
      <c r="E306" s="26"/>
      <c r="F306" s="26"/>
      <c r="G306" s="26"/>
      <c r="H306" s="26"/>
    </row>
    <row r="307" spans="1:17" ht="20.100000000000001" customHeight="1" x14ac:dyDescent="0.25">
      <c r="A307" s="26"/>
      <c r="B307" s="26"/>
      <c r="C307" s="26"/>
      <c r="D307" s="26"/>
      <c r="E307" s="26"/>
      <c r="F307" s="26"/>
      <c r="G307" s="26"/>
      <c r="H307" s="26"/>
    </row>
    <row r="308" spans="1:17" ht="20.100000000000001" customHeight="1" x14ac:dyDescent="0.25">
      <c r="A308" s="26"/>
      <c r="B308" s="26"/>
      <c r="C308" s="26"/>
      <c r="D308" s="26"/>
      <c r="E308" s="26"/>
      <c r="F308" s="26"/>
      <c r="G308" s="26"/>
      <c r="H308" s="26"/>
    </row>
    <row r="309" spans="1:17" ht="20.100000000000001" customHeight="1" x14ac:dyDescent="0.25">
      <c r="A309" s="26"/>
      <c r="B309" s="26"/>
      <c r="C309" s="26"/>
      <c r="D309" s="26"/>
      <c r="E309" s="26"/>
      <c r="F309" s="26"/>
      <c r="G309" s="26"/>
      <c r="H309" s="26"/>
    </row>
    <row r="310" spans="1:17" ht="20.100000000000001" customHeight="1" x14ac:dyDescent="0.25">
      <c r="A310" s="26"/>
      <c r="B310" s="26"/>
      <c r="C310" s="26"/>
      <c r="D310" s="26"/>
      <c r="E310" s="26"/>
      <c r="F310" s="26"/>
      <c r="G310" s="26"/>
      <c r="H310" s="26"/>
    </row>
    <row r="311" spans="1:17" ht="20.100000000000001" customHeight="1" x14ac:dyDescent="0.25">
      <c r="A311" s="26"/>
      <c r="B311" s="26"/>
      <c r="C311" s="26"/>
      <c r="D311" s="26"/>
      <c r="E311" s="26"/>
      <c r="F311" s="26"/>
      <c r="G311" s="26"/>
      <c r="H311" s="26"/>
    </row>
    <row r="312" spans="1:17" ht="20.100000000000001" customHeight="1" x14ac:dyDescent="0.25">
      <c r="A312" s="142" t="s">
        <v>20</v>
      </c>
      <c r="B312" s="142"/>
      <c r="C312" s="142" t="s">
        <v>4</v>
      </c>
      <c r="D312" s="142"/>
      <c r="E312" s="142" t="s">
        <v>5</v>
      </c>
      <c r="F312" s="142"/>
      <c r="G312" s="142" t="s">
        <v>3</v>
      </c>
      <c r="H312" s="142"/>
      <c r="I312" s="20"/>
    </row>
    <row r="313" spans="1:17" ht="20.100000000000001" customHeight="1" x14ac:dyDescent="0.25">
      <c r="A313" s="140" t="s">
        <v>21</v>
      </c>
      <c r="B313" s="140"/>
      <c r="C313" s="140">
        <f>H209</f>
        <v>527.76841070623107</v>
      </c>
      <c r="D313" s="140"/>
      <c r="E313" s="140">
        <f>H218</f>
        <v>102.69924181778077</v>
      </c>
      <c r="F313" s="140"/>
      <c r="G313" s="148">
        <f>H219</f>
        <v>0.19459149076458407</v>
      </c>
      <c r="H313" s="148"/>
      <c r="I313" s="17"/>
      <c r="N313" s="79">
        <f>G313</f>
        <v>0.19459149076458407</v>
      </c>
      <c r="O313" s="1" t="str">
        <f>A313</f>
        <v>Intervalo em torno da média</v>
      </c>
      <c r="P313" s="1">
        <f>C313</f>
        <v>527.76841070623107</v>
      </c>
      <c r="Q313" s="1">
        <f>E313</f>
        <v>102.69924181778077</v>
      </c>
    </row>
    <row r="314" spans="1:17" ht="20.100000000000001" customHeight="1" x14ac:dyDescent="0.25">
      <c r="A314" s="133" t="s">
        <v>22</v>
      </c>
      <c r="B314" s="133"/>
      <c r="C314" s="133">
        <f>H243</f>
        <v>527.76841070623107</v>
      </c>
      <c r="D314" s="133"/>
      <c r="E314" s="133">
        <f>H244</f>
        <v>102.69924181778077</v>
      </c>
      <c r="F314" s="133"/>
      <c r="G314" s="149">
        <f>H255</f>
        <v>0.19459149076458407</v>
      </c>
      <c r="H314" s="149"/>
      <c r="I314" s="17"/>
      <c r="N314" s="79">
        <f>G314</f>
        <v>0.19459149076458407</v>
      </c>
      <c r="O314" s="1" t="str">
        <f>A314</f>
        <v>Critério de Chauvenet</v>
      </c>
      <c r="P314" s="1">
        <f>C314</f>
        <v>527.76841070623107</v>
      </c>
      <c r="Q314" s="1">
        <f>E314</f>
        <v>102.69924181778077</v>
      </c>
    </row>
    <row r="315" spans="1:17" ht="20.100000000000001" customHeight="1" x14ac:dyDescent="0.25">
      <c r="A315" s="133" t="s">
        <v>23</v>
      </c>
      <c r="B315" s="133"/>
      <c r="C315" s="133">
        <f>H281</f>
        <v>527.76841070623107</v>
      </c>
      <c r="D315" s="133"/>
      <c r="E315" s="133">
        <f>H292</f>
        <v>102.69924181778077</v>
      </c>
      <c r="F315" s="133"/>
      <c r="G315" s="149">
        <f>H293</f>
        <v>0.19459149076458407</v>
      </c>
      <c r="H315" s="149"/>
      <c r="I315" s="17"/>
      <c r="N315" s="79">
        <f>G315</f>
        <v>0.19459149076458407</v>
      </c>
      <c r="O315" s="1" t="str">
        <f>A315</f>
        <v>Critério de Arley</v>
      </c>
      <c r="P315" s="1">
        <f>C315</f>
        <v>527.76841070623107</v>
      </c>
      <c r="Q315" s="1">
        <f>E315</f>
        <v>102.69924181778077</v>
      </c>
    </row>
    <row r="316" spans="1:17" ht="20.100000000000001" customHeight="1" x14ac:dyDescent="0.25">
      <c r="A316" s="140"/>
      <c r="B316" s="140"/>
      <c r="C316" s="140"/>
      <c r="D316" s="26"/>
      <c r="E316" s="26"/>
      <c r="F316" s="26"/>
      <c r="G316" s="26"/>
      <c r="H316" s="26"/>
    </row>
    <row r="317" spans="1:17" ht="20.100000000000001" customHeight="1" x14ac:dyDescent="0.25">
      <c r="A317" s="130" t="s">
        <v>24</v>
      </c>
      <c r="B317" s="130"/>
      <c r="C317" s="130"/>
      <c r="D317" s="143">
        <f>MIN(M321:M322)</f>
        <v>0.19459149076458407</v>
      </c>
      <c r="E317" s="143"/>
      <c r="F317" s="26"/>
      <c r="G317" s="26"/>
      <c r="H317" s="26"/>
    </row>
    <row r="318" spans="1:17" ht="20.100000000000001" customHeight="1" x14ac:dyDescent="0.25">
      <c r="A318" s="130" t="s">
        <v>25</v>
      </c>
      <c r="B318" s="130"/>
      <c r="C318" s="130"/>
      <c r="D318" s="133" t="str">
        <f>VLOOKUP(D317,M321:P322,2,0)</f>
        <v>Intervalo em torno da média</v>
      </c>
      <c r="E318" s="133"/>
      <c r="F318" s="26"/>
      <c r="G318" s="26"/>
      <c r="H318" s="26"/>
    </row>
    <row r="319" spans="1:17" ht="20.100000000000001" customHeight="1" x14ac:dyDescent="0.25">
      <c r="A319" s="141" t="s">
        <v>26</v>
      </c>
      <c r="B319" s="141"/>
      <c r="C319" s="141"/>
      <c r="D319" s="144">
        <f>VLOOKUP(D317,M321:P322,3,0)</f>
        <v>527.76841070623107</v>
      </c>
      <c r="E319" s="144"/>
      <c r="F319" s="138" t="s">
        <v>216</v>
      </c>
      <c r="G319" s="138"/>
      <c r="H319" s="138"/>
    </row>
    <row r="320" spans="1:17" ht="20.100000000000001" customHeight="1" x14ac:dyDescent="0.25">
      <c r="A320" s="130" t="s">
        <v>27</v>
      </c>
      <c r="B320" s="130"/>
      <c r="C320" s="130"/>
      <c r="D320" s="133">
        <f>VLOOKUP(D317,M321:P322,4,0)</f>
        <v>102.69924181778077</v>
      </c>
      <c r="E320" s="133"/>
      <c r="F320" s="26"/>
      <c r="G320" s="26"/>
      <c r="H320" s="26"/>
    </row>
    <row r="321" spans="1:16" ht="20.100000000000001" customHeight="1" x14ac:dyDescent="0.25">
      <c r="A321" s="26"/>
      <c r="B321" s="26"/>
      <c r="C321" s="26"/>
      <c r="D321" s="26"/>
      <c r="E321" s="26"/>
      <c r="F321" s="26"/>
      <c r="G321" s="26"/>
      <c r="H321" s="26"/>
      <c r="M321" s="3">
        <f>G313</f>
        <v>0.19459149076458407</v>
      </c>
      <c r="N321" s="1" t="str">
        <f>A313</f>
        <v>Intervalo em torno da média</v>
      </c>
      <c r="O321" s="1">
        <f>C313</f>
        <v>527.76841070623107</v>
      </c>
      <c r="P321" s="1">
        <f>E313</f>
        <v>102.69924181778077</v>
      </c>
    </row>
    <row r="322" spans="1:16" ht="20.100000000000001" customHeight="1" x14ac:dyDescent="0.25">
      <c r="A322" s="26"/>
      <c r="B322" s="26"/>
      <c r="C322" s="26"/>
      <c r="D322" s="26"/>
      <c r="E322" s="26"/>
      <c r="F322" s="26"/>
      <c r="G322" s="26"/>
      <c r="H322" s="26"/>
      <c r="M322" s="3">
        <f>G315</f>
        <v>0.19459149076458407</v>
      </c>
      <c r="N322" s="1" t="str">
        <f>A315</f>
        <v>Critério de Arley</v>
      </c>
      <c r="O322" s="1">
        <f>C315</f>
        <v>527.76841070623107</v>
      </c>
      <c r="P322" s="1">
        <f>E315</f>
        <v>102.69924181778077</v>
      </c>
    </row>
    <row r="323" spans="1:16" ht="20.100000000000001" customHeight="1" x14ac:dyDescent="0.25">
      <c r="A323" s="147" t="s">
        <v>119</v>
      </c>
      <c r="B323" s="147"/>
      <c r="C323" s="147"/>
      <c r="D323" s="147"/>
      <c r="E323" s="147"/>
      <c r="F323" s="147"/>
      <c r="G323" s="147"/>
      <c r="H323" s="147"/>
    </row>
    <row r="324" spans="1:16" ht="20.100000000000001" customHeight="1" x14ac:dyDescent="0.25">
      <c r="A324" s="26"/>
      <c r="B324" s="26"/>
      <c r="C324" s="26"/>
      <c r="D324" s="26"/>
      <c r="E324" s="26"/>
      <c r="F324" s="26"/>
      <c r="G324" s="26"/>
      <c r="H324" s="26"/>
    </row>
    <row r="325" spans="1:16" ht="20.100000000000001" customHeight="1" x14ac:dyDescent="0.25">
      <c r="A325" s="26"/>
      <c r="B325" s="26"/>
      <c r="C325" s="26"/>
      <c r="D325" s="26"/>
      <c r="E325" s="26"/>
      <c r="F325" s="26"/>
      <c r="G325" s="26"/>
      <c r="H325" s="26"/>
    </row>
    <row r="326" spans="1:16" ht="20.100000000000001" customHeight="1" x14ac:dyDescent="0.25">
      <c r="A326" s="26"/>
      <c r="B326" s="26"/>
      <c r="C326" s="26"/>
      <c r="D326" s="26"/>
      <c r="E326" s="26"/>
      <c r="F326" s="26"/>
      <c r="G326" s="26"/>
      <c r="H326" s="26"/>
    </row>
    <row r="327" spans="1:16" ht="20.100000000000001" customHeight="1" x14ac:dyDescent="0.25">
      <c r="A327" s="26"/>
      <c r="B327" s="26"/>
      <c r="C327" s="26"/>
      <c r="D327" s="26"/>
      <c r="E327" s="26"/>
      <c r="F327" s="26"/>
      <c r="G327" s="26"/>
      <c r="H327" s="26"/>
    </row>
    <row r="328" spans="1:16" ht="20.100000000000001" customHeight="1" x14ac:dyDescent="0.25">
      <c r="A328" s="26"/>
      <c r="B328" s="26"/>
      <c r="C328" s="26"/>
      <c r="D328" s="26"/>
      <c r="E328" s="26"/>
      <c r="F328" s="26"/>
      <c r="G328" s="26"/>
      <c r="H328" s="26"/>
    </row>
    <row r="329" spans="1:16" ht="20.100000000000001" customHeight="1" x14ac:dyDescent="0.25">
      <c r="A329" s="26"/>
      <c r="B329" s="26"/>
      <c r="C329" s="26"/>
      <c r="D329" s="26"/>
      <c r="E329" s="26"/>
      <c r="F329" s="26"/>
      <c r="G329" s="26"/>
      <c r="H329" s="26"/>
    </row>
    <row r="330" spans="1:16" ht="20.100000000000001" customHeight="1" x14ac:dyDescent="0.25">
      <c r="A330" s="26"/>
      <c r="B330" s="26"/>
      <c r="C330" s="26"/>
      <c r="D330" s="26"/>
      <c r="E330" s="26"/>
      <c r="F330" s="26"/>
      <c r="G330" s="26"/>
      <c r="H330" s="26"/>
    </row>
    <row r="331" spans="1:16" ht="20.100000000000001" customHeight="1" x14ac:dyDescent="0.25">
      <c r="A331" s="26"/>
      <c r="B331" s="26"/>
      <c r="C331" s="26"/>
      <c r="D331" s="26"/>
      <c r="E331" s="26"/>
      <c r="F331" s="26"/>
      <c r="G331" s="26"/>
      <c r="H331" s="26"/>
    </row>
    <row r="332" spans="1:16" ht="20.100000000000001" customHeight="1" x14ac:dyDescent="0.25">
      <c r="A332" s="26"/>
      <c r="B332" s="26"/>
      <c r="C332" s="26"/>
      <c r="D332" s="26"/>
      <c r="E332" s="26"/>
      <c r="F332" s="26"/>
      <c r="G332" s="26"/>
      <c r="H332" s="26"/>
    </row>
    <row r="333" spans="1:16" ht="20.100000000000001" customHeight="1" x14ac:dyDescent="0.25">
      <c r="A333" s="26"/>
      <c r="B333" s="26"/>
      <c r="C333" s="26"/>
      <c r="D333" s="26"/>
      <c r="E333" s="26"/>
      <c r="F333" s="26"/>
      <c r="G333" s="26"/>
      <c r="H333" s="26"/>
    </row>
    <row r="334" spans="1:16" ht="20.100000000000001" customHeight="1" x14ac:dyDescent="0.25">
      <c r="A334" s="26"/>
      <c r="B334" s="26"/>
      <c r="C334" s="26"/>
      <c r="D334" s="26"/>
      <c r="E334" s="26"/>
      <c r="F334" s="26"/>
      <c r="G334" s="26"/>
      <c r="H334" s="26"/>
    </row>
    <row r="335" spans="1:16" ht="20.100000000000001" customHeight="1" x14ac:dyDescent="0.25">
      <c r="A335" s="26"/>
      <c r="B335" s="26"/>
      <c r="C335" s="26"/>
      <c r="D335" s="26"/>
      <c r="E335" s="26"/>
      <c r="F335" s="26"/>
      <c r="G335" s="26"/>
      <c r="H335" s="26"/>
    </row>
    <row r="336" spans="1:16" ht="20.100000000000001" customHeight="1" x14ac:dyDescent="0.25">
      <c r="A336" s="26"/>
      <c r="B336" s="26"/>
      <c r="C336" s="26"/>
      <c r="D336" s="26"/>
      <c r="E336" s="26"/>
      <c r="F336" s="26"/>
      <c r="G336" s="26"/>
      <c r="H336" s="26"/>
    </row>
    <row r="337" spans="1:18" ht="20.100000000000001" customHeight="1" x14ac:dyDescent="0.25">
      <c r="A337" s="26"/>
      <c r="B337" s="26"/>
      <c r="C337" s="26"/>
      <c r="D337" s="26"/>
      <c r="E337" s="26"/>
      <c r="F337" s="26"/>
      <c r="G337" s="26"/>
      <c r="H337" s="26"/>
    </row>
    <row r="338" spans="1:18" ht="20.100000000000001" customHeight="1" x14ac:dyDescent="0.25">
      <c r="A338" s="26"/>
      <c r="B338" s="26"/>
      <c r="C338" s="26"/>
      <c r="D338" s="26"/>
      <c r="E338" s="26"/>
      <c r="F338" s="26"/>
      <c r="G338" s="26"/>
      <c r="H338" s="26"/>
    </row>
    <row r="339" spans="1:18" ht="20.100000000000001" customHeight="1" x14ac:dyDescent="0.25">
      <c r="A339" s="26"/>
      <c r="B339" s="26"/>
      <c r="C339" s="26"/>
      <c r="D339" s="26"/>
      <c r="E339" s="26"/>
      <c r="F339" s="26"/>
      <c r="G339" s="26"/>
      <c r="H339" s="26"/>
    </row>
    <row r="340" spans="1:18" ht="20.100000000000001" customHeight="1" x14ac:dyDescent="0.25">
      <c r="A340" s="26"/>
      <c r="B340" s="26"/>
      <c r="C340" s="26"/>
      <c r="D340" s="26"/>
      <c r="E340" s="26"/>
      <c r="F340" s="26"/>
      <c r="G340" s="26"/>
      <c r="H340" s="26"/>
    </row>
    <row r="341" spans="1:18" ht="20.100000000000001" customHeight="1" x14ac:dyDescent="0.25">
      <c r="A341" s="26"/>
      <c r="B341" s="26"/>
      <c r="C341" s="26"/>
      <c r="D341" s="26"/>
      <c r="E341" s="26"/>
      <c r="F341" s="26"/>
      <c r="G341" s="26"/>
      <c r="H341" s="26"/>
    </row>
    <row r="342" spans="1:18" ht="20.100000000000001" customHeight="1" x14ac:dyDescent="0.25">
      <c r="A342" s="26"/>
      <c r="B342" s="26"/>
      <c r="C342" s="26"/>
      <c r="D342" s="26"/>
      <c r="E342" s="26"/>
      <c r="F342" s="26"/>
      <c r="G342" s="26"/>
      <c r="H342" s="26"/>
    </row>
    <row r="343" spans="1:18" ht="20.100000000000001" customHeight="1" x14ac:dyDescent="0.25">
      <c r="A343" s="26"/>
      <c r="B343" s="26"/>
      <c r="C343" s="26"/>
      <c r="D343" s="26"/>
      <c r="E343" s="26"/>
      <c r="F343" s="26"/>
      <c r="G343" s="26"/>
      <c r="H343" s="26"/>
    </row>
    <row r="344" spans="1:18" ht="20.100000000000001" customHeight="1" x14ac:dyDescent="0.25">
      <c r="A344" s="26"/>
      <c r="B344" s="26"/>
      <c r="C344" s="26"/>
      <c r="D344" s="26"/>
      <c r="E344" s="26"/>
      <c r="F344" s="26"/>
      <c r="G344" s="26"/>
      <c r="H344" s="26"/>
    </row>
    <row r="346" spans="1:18" ht="20.100000000000001" customHeight="1" x14ac:dyDescent="0.25">
      <c r="I346" s="57"/>
      <c r="J346" s="57"/>
      <c r="K346" s="57"/>
      <c r="L346" s="80"/>
      <c r="M346" s="80"/>
      <c r="N346" s="80"/>
      <c r="O346" s="80"/>
      <c r="P346" s="80"/>
      <c r="Q346" s="80"/>
      <c r="R346" s="80"/>
    </row>
    <row r="347" spans="1:18" ht="20.100000000000001" customHeight="1" x14ac:dyDescent="0.25">
      <c r="I347" s="57"/>
      <c r="J347" s="57"/>
      <c r="K347" s="57"/>
      <c r="L347" s="80"/>
      <c r="M347" s="80"/>
      <c r="N347" s="80"/>
      <c r="O347" s="80"/>
      <c r="P347" s="80"/>
      <c r="Q347" s="80"/>
      <c r="R347" s="80"/>
    </row>
    <row r="352" spans="1:18" ht="20.100000000000001" customHeight="1" x14ac:dyDescent="0.25">
      <c r="I352" s="57"/>
      <c r="J352" s="57"/>
      <c r="K352" s="57"/>
      <c r="L352" s="80"/>
      <c r="M352" s="80"/>
      <c r="N352" s="80"/>
      <c r="O352" s="80"/>
      <c r="P352" s="80"/>
      <c r="Q352" s="80"/>
      <c r="R352" s="80"/>
    </row>
    <row r="353" spans="9:18" ht="20.100000000000001" customHeight="1" x14ac:dyDescent="0.25">
      <c r="I353" s="57"/>
      <c r="J353" s="57"/>
      <c r="K353" s="57"/>
      <c r="L353" s="80"/>
      <c r="M353" s="80"/>
      <c r="N353" s="80"/>
      <c r="O353" s="80"/>
      <c r="P353" s="80"/>
      <c r="Q353" s="80"/>
      <c r="R353" s="80"/>
    </row>
    <row r="354" spans="9:18" ht="20.100000000000001" customHeight="1" x14ac:dyDescent="0.25">
      <c r="I354" s="57"/>
      <c r="J354" s="57"/>
      <c r="K354" s="57"/>
      <c r="L354" s="80"/>
      <c r="M354" s="80"/>
      <c r="N354" s="80"/>
      <c r="O354" s="80"/>
      <c r="P354" s="80"/>
      <c r="Q354" s="80"/>
      <c r="R354" s="80"/>
    </row>
    <row r="355" spans="9:18" ht="20.100000000000001" customHeight="1" x14ac:dyDescent="0.25">
      <c r="I355" s="57"/>
      <c r="J355" s="57"/>
      <c r="K355" s="57"/>
      <c r="L355" s="80"/>
      <c r="M355" s="80"/>
      <c r="N355" s="80"/>
      <c r="O355" s="80"/>
      <c r="P355" s="80"/>
      <c r="Q355" s="80"/>
      <c r="R355" s="80"/>
    </row>
    <row r="356" spans="9:18" ht="20.100000000000001" customHeight="1" x14ac:dyDescent="0.25">
      <c r="I356" s="57"/>
      <c r="J356" s="57"/>
      <c r="K356" s="57"/>
      <c r="L356" s="80"/>
      <c r="M356" s="80"/>
      <c r="N356" s="80"/>
      <c r="O356" s="80"/>
      <c r="P356" s="80"/>
      <c r="Q356" s="80"/>
      <c r="R356" s="80"/>
    </row>
    <row r="357" spans="9:18" ht="20.100000000000001" customHeight="1" x14ac:dyDescent="0.25">
      <c r="I357" s="57"/>
      <c r="J357" s="57"/>
      <c r="K357" s="57"/>
      <c r="L357" s="80"/>
      <c r="M357" s="80"/>
      <c r="N357" s="80"/>
      <c r="O357" s="80"/>
      <c r="P357" s="80"/>
      <c r="Q357" s="80"/>
      <c r="R357" s="80"/>
    </row>
    <row r="358" spans="9:18" ht="20.100000000000001" customHeight="1" x14ac:dyDescent="0.25">
      <c r="I358" s="57"/>
      <c r="J358" s="57"/>
      <c r="K358" s="57"/>
      <c r="L358" s="80"/>
      <c r="M358" s="80"/>
      <c r="N358" s="80"/>
      <c r="O358" s="80"/>
      <c r="P358" s="80"/>
      <c r="Q358" s="80"/>
      <c r="R358" s="80"/>
    </row>
    <row r="359" spans="9:18" ht="20.100000000000001" customHeight="1" x14ac:dyDescent="0.25">
      <c r="I359" s="57"/>
      <c r="J359" s="57"/>
      <c r="K359" s="57"/>
      <c r="L359" s="80"/>
      <c r="M359" s="80"/>
      <c r="N359" s="80"/>
      <c r="O359" s="80"/>
      <c r="P359" s="80"/>
      <c r="Q359" s="80"/>
      <c r="R359" s="80"/>
    </row>
    <row r="360" spans="9:18" ht="20.100000000000001" customHeight="1" x14ac:dyDescent="0.25">
      <c r="I360" s="57"/>
      <c r="J360" s="57"/>
      <c r="K360" s="57"/>
      <c r="L360" s="80"/>
      <c r="M360" s="80"/>
      <c r="N360" s="80"/>
      <c r="O360" s="80"/>
      <c r="P360" s="80"/>
      <c r="Q360" s="80"/>
      <c r="R360" s="80"/>
    </row>
    <row r="361" spans="9:18" ht="20.100000000000001" customHeight="1" x14ac:dyDescent="0.25">
      <c r="I361" s="57"/>
      <c r="J361" s="57"/>
      <c r="K361" s="57"/>
      <c r="L361" s="80"/>
      <c r="M361" s="80"/>
      <c r="N361" s="80"/>
      <c r="O361" s="80"/>
      <c r="P361" s="80"/>
      <c r="Q361" s="80"/>
      <c r="R361" s="80"/>
    </row>
    <row r="362" spans="9:18" ht="20.100000000000001" customHeight="1" x14ac:dyDescent="0.25">
      <c r="I362" s="57"/>
      <c r="J362" s="57"/>
      <c r="K362" s="57"/>
      <c r="L362" s="80"/>
      <c r="M362" s="80"/>
      <c r="N362" s="80"/>
      <c r="O362" s="80"/>
      <c r="P362" s="80"/>
      <c r="Q362" s="80"/>
      <c r="R362" s="80"/>
    </row>
    <row r="363" spans="9:18" ht="20.100000000000001" customHeight="1" x14ac:dyDescent="0.25">
      <c r="I363" s="57"/>
      <c r="J363" s="57"/>
      <c r="K363" s="57"/>
      <c r="L363" s="80"/>
      <c r="M363" s="80"/>
      <c r="N363" s="80"/>
      <c r="O363" s="80"/>
      <c r="P363" s="80"/>
      <c r="Q363" s="80"/>
      <c r="R363" s="80"/>
    </row>
    <row r="364" spans="9:18" ht="20.100000000000001" customHeight="1" x14ac:dyDescent="0.25">
      <c r="I364" s="57"/>
      <c r="J364" s="57"/>
      <c r="K364" s="57"/>
      <c r="L364" s="80"/>
      <c r="M364" s="80"/>
      <c r="N364" s="80"/>
      <c r="O364" s="80"/>
      <c r="P364" s="80"/>
      <c r="Q364" s="80"/>
      <c r="R364" s="80"/>
    </row>
    <row r="365" spans="9:18" ht="20.100000000000001" customHeight="1" x14ac:dyDescent="0.25">
      <c r="I365" s="57"/>
      <c r="J365" s="57"/>
      <c r="K365" s="57"/>
      <c r="L365" s="80"/>
      <c r="M365" s="80"/>
      <c r="N365" s="80"/>
      <c r="O365" s="80"/>
      <c r="P365" s="80"/>
      <c r="Q365" s="80"/>
      <c r="R365" s="80"/>
    </row>
    <row r="366" spans="9:18" ht="20.100000000000001" customHeight="1" x14ac:dyDescent="0.25">
      <c r="I366" s="57"/>
      <c r="J366" s="57"/>
      <c r="K366" s="57"/>
      <c r="L366" s="80"/>
      <c r="M366" s="80"/>
      <c r="N366" s="80"/>
      <c r="O366" s="80"/>
      <c r="P366" s="80"/>
      <c r="Q366" s="80"/>
      <c r="R366" s="80"/>
    </row>
  </sheetData>
  <sheetProtection formatCells="0"/>
  <mergeCells count="135">
    <mergeCell ref="A323:H323"/>
    <mergeCell ref="G312:H312"/>
    <mergeCell ref="G313:H313"/>
    <mergeCell ref="G314:H314"/>
    <mergeCell ref="G315:H315"/>
    <mergeCell ref="A5:D5"/>
    <mergeCell ref="B12:E12"/>
    <mergeCell ref="A13:B13"/>
    <mergeCell ref="A14:D14"/>
    <mergeCell ref="B6:C6"/>
    <mergeCell ref="A7:D7"/>
    <mergeCell ref="A16:D16"/>
    <mergeCell ref="A49:D49"/>
    <mergeCell ref="A130:D130"/>
    <mergeCell ref="B50:C50"/>
    <mergeCell ref="A51:D51"/>
    <mergeCell ref="B56:E56"/>
    <mergeCell ref="A57:B57"/>
    <mergeCell ref="A78:D78"/>
    <mergeCell ref="A79:D79"/>
    <mergeCell ref="A80:D80"/>
    <mergeCell ref="A81:D81"/>
    <mergeCell ref="A83:D83"/>
    <mergeCell ref="B82:E82"/>
    <mergeCell ref="A121:D121"/>
    <mergeCell ref="A102:D102"/>
    <mergeCell ref="A104:D104"/>
    <mergeCell ref="A101:B101"/>
    <mergeCell ref="I240:K240"/>
    <mergeCell ref="I276:K276"/>
    <mergeCell ref="E209:F209"/>
    <mergeCell ref="A119:E119"/>
    <mergeCell ref="A98:E98"/>
    <mergeCell ref="A133:H133"/>
    <mergeCell ref="B126:E126"/>
    <mergeCell ref="A127:D127"/>
    <mergeCell ref="A128:D128"/>
    <mergeCell ref="E282:G282"/>
    <mergeCell ref="E284:G284"/>
    <mergeCell ref="E285:G285"/>
    <mergeCell ref="E286:G286"/>
    <mergeCell ref="E287:G287"/>
    <mergeCell ref="E210:F210"/>
    <mergeCell ref="E211:F211"/>
    <mergeCell ref="E212:F212"/>
    <mergeCell ref="E213:F213"/>
    <mergeCell ref="E218:F218"/>
    <mergeCell ref="E219:F219"/>
    <mergeCell ref="A238:H238"/>
    <mergeCell ref="F319:H319"/>
    <mergeCell ref="A89:H89"/>
    <mergeCell ref="B91:E91"/>
    <mergeCell ref="B94:C94"/>
    <mergeCell ref="A316:C316"/>
    <mergeCell ref="A317:C317"/>
    <mergeCell ref="A318:C318"/>
    <mergeCell ref="A319:C319"/>
    <mergeCell ref="A320:C320"/>
    <mergeCell ref="E312:F312"/>
    <mergeCell ref="C312:D312"/>
    <mergeCell ref="C313:D313"/>
    <mergeCell ref="C314:D314"/>
    <mergeCell ref="C315:D315"/>
    <mergeCell ref="E313:F313"/>
    <mergeCell ref="E314:F314"/>
    <mergeCell ref="E315:F315"/>
    <mergeCell ref="A312:B312"/>
    <mergeCell ref="A314:B314"/>
    <mergeCell ref="A313:B313"/>
    <mergeCell ref="D317:E317"/>
    <mergeCell ref="D318:E318"/>
    <mergeCell ref="D319:E319"/>
    <mergeCell ref="D320:E320"/>
    <mergeCell ref="A315:B315"/>
    <mergeCell ref="A205:H205"/>
    <mergeCell ref="E254:F254"/>
    <mergeCell ref="E255:F255"/>
    <mergeCell ref="B276:C276"/>
    <mergeCell ref="E276:G276"/>
    <mergeCell ref="E277:G277"/>
    <mergeCell ref="E278:G278"/>
    <mergeCell ref="E279:G279"/>
    <mergeCell ref="E281:G281"/>
    <mergeCell ref="B207:C207"/>
    <mergeCell ref="E207:F207"/>
    <mergeCell ref="E292:G292"/>
    <mergeCell ref="E293:G293"/>
    <mergeCell ref="E240:G240"/>
    <mergeCell ref="E241:G241"/>
    <mergeCell ref="E243:G243"/>
    <mergeCell ref="E244:G244"/>
    <mergeCell ref="E246:G246"/>
    <mergeCell ref="E247:G247"/>
    <mergeCell ref="E248:G248"/>
    <mergeCell ref="E249:G249"/>
    <mergeCell ref="A274:H274"/>
    <mergeCell ref="B240:C240"/>
    <mergeCell ref="A1:H1"/>
    <mergeCell ref="A28:D28"/>
    <mergeCell ref="B3:E3"/>
    <mergeCell ref="A33:D33"/>
    <mergeCell ref="A34:D34"/>
    <mergeCell ref="A122:D122"/>
    <mergeCell ref="A123:D123"/>
    <mergeCell ref="A124:D124"/>
    <mergeCell ref="A125:D125"/>
    <mergeCell ref="B47:E47"/>
    <mergeCell ref="A10:E10"/>
    <mergeCell ref="A24:E24"/>
    <mergeCell ref="A19:E19"/>
    <mergeCell ref="A63:E63"/>
    <mergeCell ref="A68:E68"/>
    <mergeCell ref="A107:E107"/>
    <mergeCell ref="A112:E112"/>
    <mergeCell ref="A77:D77"/>
    <mergeCell ref="A58:D58"/>
    <mergeCell ref="A72:D72"/>
    <mergeCell ref="A54:E54"/>
    <mergeCell ref="A31:E31"/>
    <mergeCell ref="A45:H45"/>
    <mergeCell ref="A36:D36"/>
    <mergeCell ref="A35:D35"/>
    <mergeCell ref="A42:D42"/>
    <mergeCell ref="A60:D60"/>
    <mergeCell ref="A75:E75"/>
    <mergeCell ref="B38:E38"/>
    <mergeCell ref="A40:D40"/>
    <mergeCell ref="A116:D116"/>
    <mergeCell ref="A37:D37"/>
    <mergeCell ref="A39:D39"/>
    <mergeCell ref="A84:D84"/>
    <mergeCell ref="A86:D86"/>
    <mergeCell ref="A93:D93"/>
    <mergeCell ref="A95:D95"/>
    <mergeCell ref="B100:E100"/>
  </mergeCells>
  <conditionalFormatting sqref="H216:I216 H252:I252 H290:I290">
    <cfRule type="cellIs" dxfId="1" priority="35" operator="equal">
      <formula>"Encerrar"</formula>
    </cfRule>
    <cfRule type="cellIs" dxfId="0" priority="36" operator="equal">
      <formula>"Continuar"</formula>
    </cfRule>
  </conditionalFormatting>
  <dataValidations count="2">
    <dataValidation type="list" allowBlank="1" showInputMessage="1" showErrorMessage="1" sqref="B6:C6 B55:C55 B52:C53 B96:C97 B50:C50 B99:C99 B94:C94 B8:C9 B11:C11" xr:uid="{F770B1B5-0B91-4C9B-BCF1-9865959017F9}">
      <formula1>$K$12:$L$12</formula1>
    </dataValidation>
    <dataValidation type="list" allowBlank="1" showInputMessage="1" showErrorMessage="1" sqref="E37 E81 E125" xr:uid="{7FA83B3F-5BDF-41B2-A4F1-ECB24B0466B3}">
      <formula1>$K$17:$K$33</formula1>
    </dataValidation>
  </dataValidations>
  <printOptions horizontalCentered="1"/>
  <pageMargins left="0.25" right="0.25" top="0.75" bottom="0.75" header="0.3" footer="0.3"/>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34D276-450B-41C0-9135-09B27A26A469}">
          <x14:formula1>
            <xm:f>'VANTAGEM DA COISA FEITA'!$V$5:$Y$5</xm:f>
          </x14:formula1>
          <xm:sqref>B12:E12 B56:E56 B100:E100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3450-6EC5-411E-97EB-41ABEAA658B5}">
  <sheetPr>
    <tabColor theme="0" tint="-0.249977111117893"/>
    <pageSetUpPr fitToPage="1"/>
  </sheetPr>
  <dimension ref="A1:AP92"/>
  <sheetViews>
    <sheetView zoomScaleNormal="100" workbookViewId="0">
      <selection sqref="A1:R1"/>
    </sheetView>
  </sheetViews>
  <sheetFormatPr defaultColWidth="10.625" defaultRowHeight="15" x14ac:dyDescent="0.25"/>
  <cols>
    <col min="1" max="18" width="8.625" style="10" customWidth="1"/>
    <col min="19" max="16384" width="10.625" style="6"/>
  </cols>
  <sheetData>
    <row r="1" spans="1:42" ht="20.100000000000001" customHeight="1" x14ac:dyDescent="0.25">
      <c r="A1" s="153" t="s">
        <v>222</v>
      </c>
      <c r="B1" s="153"/>
      <c r="C1" s="153"/>
      <c r="D1" s="153"/>
      <c r="E1" s="153"/>
      <c r="F1" s="153"/>
      <c r="G1" s="153"/>
      <c r="H1" s="153"/>
      <c r="I1" s="153"/>
      <c r="J1" s="153"/>
      <c r="K1" s="153"/>
      <c r="L1" s="153"/>
      <c r="M1" s="153"/>
      <c r="N1" s="153"/>
      <c r="O1" s="153"/>
      <c r="P1" s="153"/>
      <c r="Q1" s="153"/>
      <c r="R1" s="153"/>
    </row>
    <row r="2" spans="1:42" ht="20.100000000000001" customHeight="1" x14ac:dyDescent="0.25">
      <c r="A2" s="6"/>
      <c r="B2" s="6"/>
      <c r="C2" s="6"/>
      <c r="D2" s="6"/>
      <c r="E2" s="6"/>
      <c r="F2" s="6"/>
      <c r="G2" s="6"/>
      <c r="H2" s="6"/>
      <c r="I2" s="6"/>
      <c r="J2" s="6"/>
      <c r="K2" s="6"/>
      <c r="L2" s="6"/>
      <c r="M2" s="6"/>
      <c r="N2" s="6"/>
      <c r="O2" s="6"/>
      <c r="P2" s="6"/>
      <c r="Q2" s="6"/>
      <c r="R2" s="6"/>
    </row>
    <row r="3" spans="1:42" ht="20.100000000000001" customHeight="1" x14ac:dyDescent="0.25">
      <c r="A3" s="150" t="s">
        <v>72</v>
      </c>
      <c r="B3" s="150"/>
      <c r="C3" s="150"/>
      <c r="D3" s="150"/>
      <c r="E3" s="150"/>
      <c r="F3" s="150"/>
      <c r="G3" s="150"/>
      <c r="H3" s="150"/>
      <c r="I3" s="150"/>
      <c r="J3" s="150"/>
      <c r="K3" s="150"/>
      <c r="L3" s="150"/>
      <c r="M3" s="150"/>
      <c r="N3" s="150"/>
      <c r="O3" s="150"/>
      <c r="P3" s="150"/>
      <c r="Q3" s="150"/>
      <c r="R3" s="150"/>
    </row>
    <row r="4" spans="1:42" ht="20.100000000000001" customHeight="1" x14ac:dyDescent="0.25">
      <c r="A4" s="150"/>
      <c r="B4" s="150"/>
      <c r="C4" s="150"/>
      <c r="D4" s="150"/>
      <c r="E4" s="150"/>
      <c r="F4" s="150"/>
      <c r="G4" s="150"/>
      <c r="H4" s="150"/>
      <c r="I4" s="150"/>
      <c r="J4" s="150"/>
      <c r="K4" s="150"/>
      <c r="L4" s="150"/>
      <c r="M4" s="150"/>
      <c r="N4" s="150"/>
      <c r="O4" s="150"/>
      <c r="P4" s="150"/>
      <c r="Q4" s="150"/>
      <c r="R4" s="150"/>
    </row>
    <row r="5" spans="1:42" ht="20.100000000000001" customHeight="1" x14ac:dyDescent="0.25">
      <c r="A5" s="150" t="s">
        <v>73</v>
      </c>
      <c r="B5" s="150"/>
      <c r="C5" s="150"/>
      <c r="D5" s="150"/>
      <c r="E5" s="150"/>
      <c r="F5" s="150"/>
      <c r="G5" s="150"/>
      <c r="H5" s="150"/>
      <c r="I5" s="150"/>
      <c r="J5" s="150"/>
      <c r="K5" s="150"/>
      <c r="L5" s="150"/>
      <c r="M5" s="150"/>
      <c r="N5" s="150"/>
      <c r="O5" s="150"/>
      <c r="P5" s="150"/>
      <c r="Q5" s="150"/>
      <c r="R5" s="150"/>
      <c r="U5" s="27" t="s">
        <v>93</v>
      </c>
      <c r="V5" s="27" t="s">
        <v>74</v>
      </c>
      <c r="W5" s="27" t="s">
        <v>75</v>
      </c>
      <c r="X5" s="27" t="s">
        <v>76</v>
      </c>
      <c r="Y5" s="27" t="s">
        <v>77</v>
      </c>
      <c r="AA5" s="151" t="s">
        <v>78</v>
      </c>
      <c r="AB5" s="151"/>
      <c r="AC5" s="151"/>
      <c r="AD5" s="151"/>
      <c r="AE5" s="151"/>
      <c r="AF5" s="151"/>
      <c r="AG5" s="151"/>
      <c r="AH5" s="151"/>
      <c r="AI5" s="151"/>
      <c r="AJ5" s="151"/>
    </row>
    <row r="6" spans="1:42" ht="20.100000000000001" customHeight="1" x14ac:dyDescent="0.25">
      <c r="A6" s="6"/>
      <c r="B6" s="6"/>
      <c r="C6" s="6"/>
      <c r="D6" s="6"/>
      <c r="E6" s="6"/>
      <c r="F6" s="6"/>
      <c r="G6" s="6"/>
      <c r="H6" s="6"/>
      <c r="I6" s="6"/>
      <c r="J6" s="6"/>
      <c r="K6" s="6"/>
      <c r="L6" s="6"/>
      <c r="M6" s="6"/>
      <c r="N6" s="6"/>
      <c r="O6" s="6"/>
      <c r="P6" s="6"/>
      <c r="Q6" s="6"/>
      <c r="R6" s="6"/>
      <c r="U6" s="28">
        <f t="shared" ref="U6:U36" si="0">AB6</f>
        <v>0</v>
      </c>
      <c r="V6" s="29">
        <f t="shared" ref="V6:V36" si="1">AD6/100</f>
        <v>0.25</v>
      </c>
      <c r="W6" s="29">
        <f t="shared" ref="W6:W36" si="2">AF6/100</f>
        <v>0.15</v>
      </c>
      <c r="X6" s="29">
        <f t="shared" ref="X6:X36" si="3">AH6/100</f>
        <v>0.1</v>
      </c>
      <c r="Y6" s="29">
        <f t="shared" ref="Y6:Y36" si="4">AJ6/100</f>
        <v>0.05</v>
      </c>
      <c r="AA6" s="152" t="s">
        <v>79</v>
      </c>
      <c r="AB6" s="30">
        <v>0</v>
      </c>
      <c r="AC6" s="152" t="s">
        <v>80</v>
      </c>
      <c r="AD6" s="8">
        <v>25</v>
      </c>
      <c r="AE6" s="152" t="s">
        <v>81</v>
      </c>
      <c r="AF6" s="8">
        <v>15</v>
      </c>
      <c r="AG6" s="152" t="s">
        <v>82</v>
      </c>
      <c r="AH6" s="9">
        <f t="shared" ref="AH6:AH16" si="5">10-AB6*1.6/10</f>
        <v>10</v>
      </c>
      <c r="AI6" s="152" t="s">
        <v>83</v>
      </c>
      <c r="AJ6" s="8">
        <v>5</v>
      </c>
    </row>
    <row r="7" spans="1:42" ht="20.100000000000001" customHeight="1" x14ac:dyDescent="0.25">
      <c r="A7" s="6"/>
      <c r="B7" s="6"/>
      <c r="C7" s="6"/>
      <c r="D7" s="6"/>
      <c r="E7" s="6"/>
      <c r="F7" s="6"/>
      <c r="G7" s="6"/>
      <c r="H7" s="6"/>
      <c r="I7" s="6"/>
      <c r="J7" s="6"/>
      <c r="K7" s="6"/>
      <c r="L7" s="6"/>
      <c r="M7" s="6"/>
      <c r="N7" s="6"/>
      <c r="O7" s="6"/>
      <c r="P7" s="6"/>
      <c r="Q7" s="6"/>
      <c r="R7" s="6"/>
      <c r="U7" s="28">
        <f t="shared" si="0"/>
        <v>1</v>
      </c>
      <c r="V7" s="29">
        <f t="shared" si="1"/>
        <v>0.24600000000000002</v>
      </c>
      <c r="W7" s="29">
        <f t="shared" si="2"/>
        <v>0.14749999999999999</v>
      </c>
      <c r="X7" s="29">
        <f t="shared" si="3"/>
        <v>9.8400000000000001E-2</v>
      </c>
      <c r="Y7" s="29">
        <f t="shared" si="4"/>
        <v>4.9200000000000001E-2</v>
      </c>
      <c r="AA7" s="152"/>
      <c r="AB7" s="30">
        <v>1</v>
      </c>
      <c r="AC7" s="152"/>
      <c r="AD7" s="9">
        <f t="shared" ref="AD7:AD16" si="6">25-AB7*4/10</f>
        <v>24.6</v>
      </c>
      <c r="AE7" s="152"/>
      <c r="AF7" s="9">
        <f t="shared" ref="AF7:AF16" si="7">15-(AB7*2.5/10)</f>
        <v>14.75</v>
      </c>
      <c r="AG7" s="152"/>
      <c r="AH7" s="9">
        <f t="shared" si="5"/>
        <v>9.84</v>
      </c>
      <c r="AI7" s="152"/>
      <c r="AJ7" s="9">
        <f t="shared" ref="AJ7:AJ16" si="8">5-AB7*0.8/10</f>
        <v>4.92</v>
      </c>
      <c r="AM7" s="7"/>
      <c r="AN7" s="7"/>
      <c r="AO7" s="7"/>
      <c r="AP7" s="7"/>
    </row>
    <row r="8" spans="1:42" ht="20.100000000000001" customHeight="1" x14ac:dyDescent="0.25">
      <c r="A8" s="154" t="s">
        <v>84</v>
      </c>
      <c r="B8" s="154"/>
      <c r="C8" s="154"/>
      <c r="D8" s="154"/>
      <c r="E8" s="154" t="s">
        <v>33</v>
      </c>
      <c r="F8" s="154"/>
      <c r="G8" s="154" t="s">
        <v>85</v>
      </c>
      <c r="H8" s="154"/>
      <c r="I8" s="154"/>
      <c r="J8" s="154"/>
      <c r="K8" s="154" t="s">
        <v>86</v>
      </c>
      <c r="L8" s="154"/>
      <c r="M8" s="154"/>
      <c r="N8" s="154"/>
      <c r="O8" s="154" t="s">
        <v>87</v>
      </c>
      <c r="P8" s="154"/>
      <c r="Q8" s="154"/>
      <c r="R8" s="154"/>
      <c r="U8" s="28">
        <f t="shared" si="0"/>
        <v>2</v>
      </c>
      <c r="V8" s="29">
        <f t="shared" si="1"/>
        <v>0.24199999999999999</v>
      </c>
      <c r="W8" s="29">
        <f t="shared" si="2"/>
        <v>0.14499999999999999</v>
      </c>
      <c r="X8" s="29">
        <f t="shared" si="3"/>
        <v>9.6799999999999997E-2</v>
      </c>
      <c r="Y8" s="29">
        <f t="shared" si="4"/>
        <v>4.8399999999999999E-2</v>
      </c>
      <c r="AA8" s="152"/>
      <c r="AB8" s="30">
        <v>2</v>
      </c>
      <c r="AC8" s="152"/>
      <c r="AD8" s="9">
        <f t="shared" si="6"/>
        <v>24.2</v>
      </c>
      <c r="AE8" s="152"/>
      <c r="AF8" s="9">
        <f t="shared" si="7"/>
        <v>14.5</v>
      </c>
      <c r="AG8" s="152"/>
      <c r="AH8" s="9">
        <f t="shared" si="5"/>
        <v>9.68</v>
      </c>
      <c r="AI8" s="152"/>
      <c r="AJ8" s="9">
        <f t="shared" si="8"/>
        <v>4.84</v>
      </c>
      <c r="AM8" s="7"/>
      <c r="AN8" s="7"/>
      <c r="AO8" s="7"/>
      <c r="AP8" s="7"/>
    </row>
    <row r="9" spans="1:42" ht="20.100000000000001" customHeight="1" x14ac:dyDescent="0.25">
      <c r="A9" s="155" t="s">
        <v>74</v>
      </c>
      <c r="B9" s="155"/>
      <c r="C9" s="155"/>
      <c r="D9" s="155"/>
      <c r="E9" s="156">
        <v>0.25</v>
      </c>
      <c r="F9" s="156"/>
      <c r="G9" s="156">
        <v>0.25</v>
      </c>
      <c r="H9" s="156"/>
      <c r="I9" s="156">
        <v>0.21</v>
      </c>
      <c r="J9" s="156"/>
      <c r="K9" s="156">
        <v>0.21</v>
      </c>
      <c r="L9" s="156"/>
      <c r="M9" s="156">
        <v>0.13</v>
      </c>
      <c r="N9" s="156"/>
      <c r="O9" s="156">
        <v>0.13</v>
      </c>
      <c r="P9" s="156"/>
      <c r="Q9" s="156">
        <v>0</v>
      </c>
      <c r="R9" s="156"/>
      <c r="U9" s="28">
        <f t="shared" si="0"/>
        <v>3</v>
      </c>
      <c r="V9" s="29">
        <f t="shared" si="1"/>
        <v>0.23800000000000002</v>
      </c>
      <c r="W9" s="29">
        <f t="shared" si="2"/>
        <v>0.14249999999999999</v>
      </c>
      <c r="X9" s="29">
        <f t="shared" si="3"/>
        <v>9.5199999999999993E-2</v>
      </c>
      <c r="Y9" s="29">
        <f t="shared" si="4"/>
        <v>4.7599999999999996E-2</v>
      </c>
      <c r="AA9" s="152"/>
      <c r="AB9" s="30">
        <v>3</v>
      </c>
      <c r="AC9" s="152"/>
      <c r="AD9" s="9">
        <f t="shared" si="6"/>
        <v>23.8</v>
      </c>
      <c r="AE9" s="152"/>
      <c r="AF9" s="9">
        <f t="shared" si="7"/>
        <v>14.25</v>
      </c>
      <c r="AG9" s="152"/>
      <c r="AH9" s="9">
        <f t="shared" si="5"/>
        <v>9.52</v>
      </c>
      <c r="AI9" s="152"/>
      <c r="AJ9" s="9">
        <f t="shared" si="8"/>
        <v>4.76</v>
      </c>
      <c r="AM9" s="7"/>
      <c r="AN9" s="7"/>
      <c r="AO9" s="7"/>
      <c r="AP9" s="7"/>
    </row>
    <row r="10" spans="1:42" ht="20.100000000000001" customHeight="1" x14ac:dyDescent="0.25">
      <c r="A10" s="155"/>
      <c r="B10" s="155"/>
      <c r="C10" s="155"/>
      <c r="D10" s="155"/>
      <c r="E10" s="156"/>
      <c r="F10" s="156"/>
      <c r="G10" s="156"/>
      <c r="H10" s="156"/>
      <c r="I10" s="156"/>
      <c r="J10" s="156"/>
      <c r="K10" s="156"/>
      <c r="L10" s="156"/>
      <c r="M10" s="156"/>
      <c r="N10" s="156"/>
      <c r="O10" s="156"/>
      <c r="P10" s="156"/>
      <c r="Q10" s="156"/>
      <c r="R10" s="156"/>
      <c r="U10" s="28">
        <f t="shared" si="0"/>
        <v>4</v>
      </c>
      <c r="V10" s="29">
        <f t="shared" si="1"/>
        <v>0.23399999999999999</v>
      </c>
      <c r="W10" s="29">
        <f t="shared" si="2"/>
        <v>0.14000000000000001</v>
      </c>
      <c r="X10" s="29">
        <f t="shared" si="3"/>
        <v>9.3599999999999989E-2</v>
      </c>
      <c r="Y10" s="29">
        <f t="shared" si="4"/>
        <v>4.6799999999999994E-2</v>
      </c>
      <c r="AA10" s="152"/>
      <c r="AB10" s="30">
        <v>4</v>
      </c>
      <c r="AC10" s="152"/>
      <c r="AD10" s="9">
        <f t="shared" si="6"/>
        <v>23.4</v>
      </c>
      <c r="AE10" s="152"/>
      <c r="AF10" s="9">
        <f t="shared" si="7"/>
        <v>14</v>
      </c>
      <c r="AG10" s="152"/>
      <c r="AH10" s="9">
        <f t="shared" si="5"/>
        <v>9.36</v>
      </c>
      <c r="AI10" s="152"/>
      <c r="AJ10" s="9">
        <f t="shared" si="8"/>
        <v>4.68</v>
      </c>
      <c r="AM10" s="7"/>
      <c r="AN10" s="7"/>
      <c r="AO10" s="7"/>
      <c r="AP10" s="7"/>
    </row>
    <row r="11" spans="1:42" ht="20.100000000000001" customHeight="1" x14ac:dyDescent="0.25">
      <c r="A11" s="155" t="s">
        <v>75</v>
      </c>
      <c r="B11" s="155"/>
      <c r="C11" s="155"/>
      <c r="D11" s="155"/>
      <c r="E11" s="156">
        <v>0.15</v>
      </c>
      <c r="F11" s="156"/>
      <c r="G11" s="156">
        <v>0.15</v>
      </c>
      <c r="H11" s="156"/>
      <c r="I11" s="156">
        <v>0.125</v>
      </c>
      <c r="J11" s="156"/>
      <c r="K11" s="156">
        <v>0.125</v>
      </c>
      <c r="L11" s="156"/>
      <c r="M11" s="156">
        <v>7.8E-2</v>
      </c>
      <c r="N11" s="156"/>
      <c r="O11" s="156">
        <v>7.8E-2</v>
      </c>
      <c r="P11" s="156"/>
      <c r="Q11" s="156">
        <v>0</v>
      </c>
      <c r="R11" s="156"/>
      <c r="U11" s="28">
        <f t="shared" si="0"/>
        <v>5</v>
      </c>
      <c r="V11" s="29">
        <f t="shared" si="1"/>
        <v>0.23</v>
      </c>
      <c r="W11" s="29">
        <f t="shared" si="2"/>
        <v>0.13750000000000001</v>
      </c>
      <c r="X11" s="29">
        <f t="shared" si="3"/>
        <v>9.1999999999999998E-2</v>
      </c>
      <c r="Y11" s="29">
        <f t="shared" si="4"/>
        <v>4.5999999999999999E-2</v>
      </c>
      <c r="AA11" s="152"/>
      <c r="AB11" s="30">
        <v>5</v>
      </c>
      <c r="AC11" s="152"/>
      <c r="AD11" s="9">
        <f t="shared" si="6"/>
        <v>23</v>
      </c>
      <c r="AE11" s="152"/>
      <c r="AF11" s="9">
        <f t="shared" si="7"/>
        <v>13.75</v>
      </c>
      <c r="AG11" s="152"/>
      <c r="AH11" s="9">
        <f t="shared" si="5"/>
        <v>9.1999999999999993</v>
      </c>
      <c r="AI11" s="152"/>
      <c r="AJ11" s="9">
        <f t="shared" si="8"/>
        <v>4.5999999999999996</v>
      </c>
      <c r="AM11" s="7"/>
      <c r="AN11" s="7"/>
      <c r="AO11" s="7"/>
      <c r="AP11" s="7"/>
    </row>
    <row r="12" spans="1:42" ht="20.100000000000001" customHeight="1" x14ac:dyDescent="0.25">
      <c r="A12" s="155"/>
      <c r="B12" s="155"/>
      <c r="C12" s="155"/>
      <c r="D12" s="155"/>
      <c r="E12" s="156"/>
      <c r="F12" s="156"/>
      <c r="G12" s="156"/>
      <c r="H12" s="156"/>
      <c r="I12" s="156"/>
      <c r="J12" s="156"/>
      <c r="K12" s="156"/>
      <c r="L12" s="156"/>
      <c r="M12" s="156"/>
      <c r="N12" s="156"/>
      <c r="O12" s="156"/>
      <c r="P12" s="156"/>
      <c r="Q12" s="156"/>
      <c r="R12" s="156"/>
      <c r="U12" s="28">
        <f t="shared" si="0"/>
        <v>6</v>
      </c>
      <c r="V12" s="29">
        <f t="shared" si="1"/>
        <v>0.22600000000000001</v>
      </c>
      <c r="W12" s="29">
        <f t="shared" si="2"/>
        <v>0.13500000000000001</v>
      </c>
      <c r="X12" s="29">
        <f t="shared" si="3"/>
        <v>9.0399999999999994E-2</v>
      </c>
      <c r="Y12" s="29">
        <f t="shared" si="4"/>
        <v>4.5199999999999997E-2</v>
      </c>
      <c r="AA12" s="152"/>
      <c r="AB12" s="30">
        <v>6</v>
      </c>
      <c r="AC12" s="152"/>
      <c r="AD12" s="9">
        <f t="shared" si="6"/>
        <v>22.6</v>
      </c>
      <c r="AE12" s="152"/>
      <c r="AF12" s="9">
        <f t="shared" si="7"/>
        <v>13.5</v>
      </c>
      <c r="AG12" s="152"/>
      <c r="AH12" s="9">
        <f t="shared" si="5"/>
        <v>9.0399999999999991</v>
      </c>
      <c r="AI12" s="152"/>
      <c r="AJ12" s="9">
        <f t="shared" si="8"/>
        <v>4.5199999999999996</v>
      </c>
      <c r="AM12" s="7"/>
      <c r="AN12" s="7"/>
      <c r="AO12" s="7"/>
      <c r="AP12" s="7"/>
    </row>
    <row r="13" spans="1:42" ht="20.100000000000001" customHeight="1" x14ac:dyDescent="0.25">
      <c r="A13" s="155" t="s">
        <v>76</v>
      </c>
      <c r="B13" s="155"/>
      <c r="C13" s="155"/>
      <c r="D13" s="155"/>
      <c r="E13" s="156">
        <v>0.1</v>
      </c>
      <c r="F13" s="156"/>
      <c r="G13" s="156">
        <v>0.1</v>
      </c>
      <c r="H13" s="156"/>
      <c r="I13" s="156">
        <v>8.4000000000000005E-2</v>
      </c>
      <c r="J13" s="156"/>
      <c r="K13" s="156">
        <v>8.4000000000000005E-2</v>
      </c>
      <c r="L13" s="156"/>
      <c r="M13" s="156">
        <v>5.1999999999999998E-2</v>
      </c>
      <c r="N13" s="156"/>
      <c r="O13" s="156">
        <v>5.1999999999999998E-2</v>
      </c>
      <c r="P13" s="156"/>
      <c r="Q13" s="156">
        <v>0</v>
      </c>
      <c r="R13" s="156"/>
      <c r="U13" s="28">
        <f t="shared" si="0"/>
        <v>7</v>
      </c>
      <c r="V13" s="29">
        <f t="shared" si="1"/>
        <v>0.222</v>
      </c>
      <c r="W13" s="29">
        <f t="shared" si="2"/>
        <v>0.13250000000000001</v>
      </c>
      <c r="X13" s="29">
        <f t="shared" si="3"/>
        <v>8.879999999999999E-2</v>
      </c>
      <c r="Y13" s="29">
        <f t="shared" si="4"/>
        <v>4.4399999999999995E-2</v>
      </c>
      <c r="AA13" s="152"/>
      <c r="AB13" s="30">
        <v>7</v>
      </c>
      <c r="AC13" s="152"/>
      <c r="AD13" s="9">
        <f t="shared" si="6"/>
        <v>22.2</v>
      </c>
      <c r="AE13" s="152"/>
      <c r="AF13" s="9">
        <f t="shared" si="7"/>
        <v>13.25</v>
      </c>
      <c r="AG13" s="152"/>
      <c r="AH13" s="9">
        <f t="shared" si="5"/>
        <v>8.879999999999999</v>
      </c>
      <c r="AI13" s="152"/>
      <c r="AJ13" s="9">
        <f t="shared" si="8"/>
        <v>4.4399999999999995</v>
      </c>
      <c r="AM13" s="7"/>
      <c r="AN13" s="7"/>
      <c r="AO13" s="7"/>
      <c r="AP13" s="7"/>
    </row>
    <row r="14" spans="1:42" ht="20.100000000000001" customHeight="1" x14ac:dyDescent="0.25">
      <c r="A14" s="155"/>
      <c r="B14" s="155"/>
      <c r="C14" s="155"/>
      <c r="D14" s="155"/>
      <c r="E14" s="156"/>
      <c r="F14" s="156"/>
      <c r="G14" s="156"/>
      <c r="H14" s="156"/>
      <c r="I14" s="156"/>
      <c r="J14" s="156"/>
      <c r="K14" s="156"/>
      <c r="L14" s="156"/>
      <c r="M14" s="156"/>
      <c r="N14" s="156"/>
      <c r="O14" s="156"/>
      <c r="P14" s="156"/>
      <c r="Q14" s="156"/>
      <c r="R14" s="156"/>
      <c r="U14" s="28">
        <f t="shared" si="0"/>
        <v>8</v>
      </c>
      <c r="V14" s="29">
        <f t="shared" si="1"/>
        <v>0.218</v>
      </c>
      <c r="W14" s="29">
        <f t="shared" si="2"/>
        <v>0.13</v>
      </c>
      <c r="X14" s="29">
        <f t="shared" si="3"/>
        <v>8.72E-2</v>
      </c>
      <c r="Y14" s="29">
        <f t="shared" si="4"/>
        <v>4.36E-2</v>
      </c>
      <c r="AA14" s="152"/>
      <c r="AB14" s="30">
        <v>8</v>
      </c>
      <c r="AC14" s="152"/>
      <c r="AD14" s="9">
        <f t="shared" si="6"/>
        <v>21.8</v>
      </c>
      <c r="AE14" s="152"/>
      <c r="AF14" s="9">
        <f t="shared" si="7"/>
        <v>13</v>
      </c>
      <c r="AG14" s="152"/>
      <c r="AH14" s="9">
        <f t="shared" si="5"/>
        <v>8.7200000000000006</v>
      </c>
      <c r="AI14" s="152"/>
      <c r="AJ14" s="9">
        <f t="shared" si="8"/>
        <v>4.3600000000000003</v>
      </c>
      <c r="AM14" s="7"/>
      <c r="AN14" s="7"/>
      <c r="AO14" s="7"/>
      <c r="AP14" s="7"/>
    </row>
    <row r="15" spans="1:42" ht="20.100000000000001" customHeight="1" x14ac:dyDescent="0.25">
      <c r="A15" s="155" t="s">
        <v>77</v>
      </c>
      <c r="B15" s="155"/>
      <c r="C15" s="155"/>
      <c r="D15" s="155"/>
      <c r="E15" s="156">
        <v>0.05</v>
      </c>
      <c r="F15" s="156"/>
      <c r="G15" s="156">
        <v>0.05</v>
      </c>
      <c r="H15" s="156"/>
      <c r="I15" s="156">
        <v>4.2000000000000003E-2</v>
      </c>
      <c r="J15" s="156"/>
      <c r="K15" s="156">
        <v>4.2000000000000003E-2</v>
      </c>
      <c r="L15" s="156"/>
      <c r="M15" s="156">
        <v>2.5999999999999999E-2</v>
      </c>
      <c r="N15" s="156"/>
      <c r="O15" s="156">
        <v>2.5999999999999999E-2</v>
      </c>
      <c r="P15" s="156"/>
      <c r="Q15" s="156">
        <v>0</v>
      </c>
      <c r="R15" s="156"/>
      <c r="U15" s="28">
        <f t="shared" si="0"/>
        <v>9</v>
      </c>
      <c r="V15" s="29">
        <f t="shared" si="1"/>
        <v>0.214</v>
      </c>
      <c r="W15" s="29">
        <f t="shared" si="2"/>
        <v>0.1275</v>
      </c>
      <c r="X15" s="29">
        <f t="shared" si="3"/>
        <v>8.5600000000000009E-2</v>
      </c>
      <c r="Y15" s="29">
        <f t="shared" si="4"/>
        <v>4.2800000000000005E-2</v>
      </c>
      <c r="AA15" s="152"/>
      <c r="AB15" s="30">
        <v>9</v>
      </c>
      <c r="AC15" s="152"/>
      <c r="AD15" s="9">
        <f t="shared" si="6"/>
        <v>21.4</v>
      </c>
      <c r="AE15" s="152"/>
      <c r="AF15" s="9">
        <f t="shared" si="7"/>
        <v>12.75</v>
      </c>
      <c r="AG15" s="152"/>
      <c r="AH15" s="9">
        <f t="shared" si="5"/>
        <v>8.56</v>
      </c>
      <c r="AI15" s="152"/>
      <c r="AJ15" s="9">
        <f t="shared" si="8"/>
        <v>4.28</v>
      </c>
      <c r="AM15" s="7"/>
      <c r="AN15" s="7"/>
      <c r="AO15" s="7"/>
      <c r="AP15" s="7"/>
    </row>
    <row r="16" spans="1:42" ht="20.100000000000001" customHeight="1" x14ac:dyDescent="0.25">
      <c r="A16" s="155"/>
      <c r="B16" s="155"/>
      <c r="C16" s="155"/>
      <c r="D16" s="155"/>
      <c r="E16" s="156"/>
      <c r="F16" s="156"/>
      <c r="G16" s="156"/>
      <c r="H16" s="156"/>
      <c r="I16" s="156"/>
      <c r="J16" s="156"/>
      <c r="K16" s="156"/>
      <c r="L16" s="156"/>
      <c r="M16" s="156"/>
      <c r="N16" s="156"/>
      <c r="O16" s="156"/>
      <c r="P16" s="156"/>
      <c r="Q16" s="156"/>
      <c r="R16" s="156"/>
      <c r="U16" s="28">
        <f t="shared" si="0"/>
        <v>10</v>
      </c>
      <c r="V16" s="29">
        <f t="shared" si="1"/>
        <v>0.21</v>
      </c>
      <c r="W16" s="29">
        <f t="shared" si="2"/>
        <v>0.125</v>
      </c>
      <c r="X16" s="29">
        <f t="shared" si="3"/>
        <v>8.4000000000000005E-2</v>
      </c>
      <c r="Y16" s="29">
        <f t="shared" si="4"/>
        <v>4.2000000000000003E-2</v>
      </c>
      <c r="AA16" s="152"/>
      <c r="AB16" s="30">
        <v>10</v>
      </c>
      <c r="AC16" s="152"/>
      <c r="AD16" s="9">
        <f t="shared" si="6"/>
        <v>21</v>
      </c>
      <c r="AE16" s="152"/>
      <c r="AF16" s="9">
        <f t="shared" si="7"/>
        <v>12.5</v>
      </c>
      <c r="AG16" s="152"/>
      <c r="AH16" s="9">
        <f t="shared" si="5"/>
        <v>8.4</v>
      </c>
      <c r="AI16" s="152"/>
      <c r="AJ16" s="9">
        <f t="shared" si="8"/>
        <v>4.2</v>
      </c>
      <c r="AM16" s="7"/>
      <c r="AN16" s="7"/>
      <c r="AO16" s="7"/>
      <c r="AP16" s="7"/>
    </row>
    <row r="17" spans="1:42" ht="20.100000000000001" customHeight="1" x14ac:dyDescent="0.25">
      <c r="A17" s="157" t="s">
        <v>88</v>
      </c>
      <c r="B17" s="157"/>
      <c r="C17" s="157"/>
      <c r="D17" s="157"/>
      <c r="E17" s="157"/>
      <c r="F17" s="157"/>
      <c r="G17" s="157"/>
      <c r="H17" s="157"/>
      <c r="I17" s="157"/>
      <c r="J17" s="157"/>
      <c r="K17" s="157"/>
      <c r="L17" s="157"/>
      <c r="M17" s="157"/>
      <c r="N17" s="157"/>
      <c r="O17" s="157"/>
      <c r="P17" s="157"/>
      <c r="Q17" s="157"/>
      <c r="R17" s="157"/>
      <c r="U17" s="28">
        <f t="shared" si="0"/>
        <v>11</v>
      </c>
      <c r="V17" s="29">
        <f t="shared" si="1"/>
        <v>0.20199999999999999</v>
      </c>
      <c r="W17" s="29">
        <f t="shared" si="2"/>
        <v>0.12029999999999999</v>
      </c>
      <c r="X17" s="29">
        <f t="shared" si="3"/>
        <v>8.0799999999999997E-2</v>
      </c>
      <c r="Y17" s="29">
        <f t="shared" si="4"/>
        <v>4.0399999999999998E-2</v>
      </c>
      <c r="AA17" s="152"/>
      <c r="AB17" s="30">
        <v>11</v>
      </c>
      <c r="AC17" s="152"/>
      <c r="AD17" s="9">
        <f t="shared" ref="AD17:AD26" si="9">21-((AB17-10)*(8/10))</f>
        <v>20.2</v>
      </c>
      <c r="AE17" s="152"/>
      <c r="AF17" s="9">
        <f t="shared" ref="AF17:AF26" si="10">12.5-(AB17-10)*4.7/10</f>
        <v>12.03</v>
      </c>
      <c r="AG17" s="152"/>
      <c r="AH17" s="9">
        <f t="shared" ref="AH17:AH26" si="11">8.4-(AB17-10)*3.2/10</f>
        <v>8.08</v>
      </c>
      <c r="AI17" s="152"/>
      <c r="AJ17" s="9">
        <f t="shared" ref="AJ17:AJ26" si="12">4.2-(AB17-10)*1.6/10</f>
        <v>4.04</v>
      </c>
      <c r="AM17" s="7"/>
      <c r="AN17" s="7"/>
      <c r="AO17" s="7"/>
      <c r="AP17" s="7"/>
    </row>
    <row r="18" spans="1:42" ht="20.100000000000001" customHeight="1" x14ac:dyDescent="0.25">
      <c r="A18" s="157" t="s">
        <v>89</v>
      </c>
      <c r="B18" s="157"/>
      <c r="C18" s="157"/>
      <c r="D18" s="157"/>
      <c r="E18" s="157"/>
      <c r="F18" s="157"/>
      <c r="G18" s="157"/>
      <c r="H18" s="157"/>
      <c r="I18" s="157"/>
      <c r="J18" s="157"/>
      <c r="K18" s="157"/>
      <c r="L18" s="157"/>
      <c r="M18" s="157"/>
      <c r="N18" s="157"/>
      <c r="O18" s="157"/>
      <c r="P18" s="157"/>
      <c r="Q18" s="157"/>
      <c r="R18" s="157"/>
      <c r="U18" s="28">
        <f t="shared" si="0"/>
        <v>12</v>
      </c>
      <c r="V18" s="29">
        <f t="shared" si="1"/>
        <v>0.19399999999999998</v>
      </c>
      <c r="W18" s="29">
        <f t="shared" si="2"/>
        <v>0.11560000000000001</v>
      </c>
      <c r="X18" s="29">
        <f t="shared" si="3"/>
        <v>7.7600000000000002E-2</v>
      </c>
      <c r="Y18" s="29">
        <f t="shared" si="4"/>
        <v>3.8800000000000001E-2</v>
      </c>
      <c r="AA18" s="152"/>
      <c r="AB18" s="30">
        <v>12</v>
      </c>
      <c r="AC18" s="152"/>
      <c r="AD18" s="9">
        <f t="shared" si="9"/>
        <v>19.399999999999999</v>
      </c>
      <c r="AE18" s="152"/>
      <c r="AF18" s="9">
        <f t="shared" si="10"/>
        <v>11.56</v>
      </c>
      <c r="AG18" s="152"/>
      <c r="AH18" s="9">
        <f t="shared" si="11"/>
        <v>7.7600000000000007</v>
      </c>
      <c r="AI18" s="152"/>
      <c r="AJ18" s="9">
        <f t="shared" si="12"/>
        <v>3.8800000000000003</v>
      </c>
      <c r="AM18" s="7"/>
      <c r="AN18" s="7"/>
      <c r="AO18" s="7"/>
      <c r="AP18" s="7"/>
    </row>
    <row r="19" spans="1:42" ht="20.100000000000001" customHeight="1" x14ac:dyDescent="0.25">
      <c r="U19" s="28">
        <f t="shared" si="0"/>
        <v>13</v>
      </c>
      <c r="V19" s="29">
        <f t="shared" si="1"/>
        <v>0.18600000000000003</v>
      </c>
      <c r="W19" s="29">
        <f t="shared" si="2"/>
        <v>0.1109</v>
      </c>
      <c r="X19" s="29">
        <f t="shared" si="3"/>
        <v>7.4400000000000008E-2</v>
      </c>
      <c r="Y19" s="29">
        <f t="shared" si="4"/>
        <v>3.7200000000000004E-2</v>
      </c>
      <c r="AA19" s="152"/>
      <c r="AB19" s="30">
        <v>13</v>
      </c>
      <c r="AC19" s="152"/>
      <c r="AD19" s="9">
        <f t="shared" si="9"/>
        <v>18.600000000000001</v>
      </c>
      <c r="AE19" s="152"/>
      <c r="AF19" s="9">
        <f t="shared" si="10"/>
        <v>11.09</v>
      </c>
      <c r="AG19" s="152"/>
      <c r="AH19" s="9">
        <f t="shared" si="11"/>
        <v>7.44</v>
      </c>
      <c r="AI19" s="152"/>
      <c r="AJ19" s="9">
        <f t="shared" si="12"/>
        <v>3.72</v>
      </c>
      <c r="AM19" s="7"/>
      <c r="AN19" s="7"/>
      <c r="AO19" s="7"/>
      <c r="AP19" s="7"/>
    </row>
    <row r="20" spans="1:42" ht="20.100000000000001" customHeight="1" x14ac:dyDescent="0.25">
      <c r="A20" s="154" t="s">
        <v>90</v>
      </c>
      <c r="B20" s="154"/>
      <c r="C20" s="154" t="s">
        <v>84</v>
      </c>
      <c r="D20" s="154"/>
      <c r="E20" s="154"/>
      <c r="F20" s="154"/>
      <c r="G20" s="154"/>
      <c r="H20" s="154"/>
      <c r="I20" s="154"/>
      <c r="J20" s="154"/>
      <c r="K20" s="154"/>
      <c r="L20" s="154"/>
      <c r="M20" s="154"/>
      <c r="N20" s="154"/>
      <c r="O20" s="154"/>
      <c r="P20" s="154"/>
      <c r="Q20" s="154"/>
      <c r="R20" s="154"/>
      <c r="U20" s="28">
        <f t="shared" si="0"/>
        <v>14</v>
      </c>
      <c r="V20" s="29">
        <f t="shared" si="1"/>
        <v>0.17800000000000002</v>
      </c>
      <c r="W20" s="29">
        <f t="shared" si="2"/>
        <v>0.10619999999999999</v>
      </c>
      <c r="X20" s="29">
        <f t="shared" si="3"/>
        <v>7.1199999999999999E-2</v>
      </c>
      <c r="Y20" s="29">
        <f t="shared" si="4"/>
        <v>3.56E-2</v>
      </c>
      <c r="AA20" s="152"/>
      <c r="AB20" s="30">
        <v>14</v>
      </c>
      <c r="AC20" s="152"/>
      <c r="AD20" s="9">
        <f t="shared" si="9"/>
        <v>17.8</v>
      </c>
      <c r="AE20" s="152"/>
      <c r="AF20" s="9">
        <f t="shared" si="10"/>
        <v>10.62</v>
      </c>
      <c r="AG20" s="152"/>
      <c r="AH20" s="9">
        <f t="shared" si="11"/>
        <v>7.12</v>
      </c>
      <c r="AI20" s="152"/>
      <c r="AJ20" s="9">
        <f t="shared" si="12"/>
        <v>3.56</v>
      </c>
      <c r="AM20" s="7"/>
      <c r="AN20" s="7"/>
      <c r="AO20" s="7"/>
      <c r="AP20" s="7"/>
    </row>
    <row r="21" spans="1:42" ht="20.100000000000001" customHeight="1" x14ac:dyDescent="0.25">
      <c r="A21" s="154"/>
      <c r="B21" s="154"/>
      <c r="C21" s="154" t="str">
        <f>V5</f>
        <v>Grande estrutura</v>
      </c>
      <c r="D21" s="154"/>
      <c r="E21" s="154"/>
      <c r="F21" s="154"/>
      <c r="G21" s="154" t="str">
        <f>W5</f>
        <v>Pequena estrutura e residencial de luxo</v>
      </c>
      <c r="H21" s="154"/>
      <c r="I21" s="154"/>
      <c r="J21" s="154"/>
      <c r="K21" s="154" t="str">
        <f>X5</f>
        <v>Industrial e residencial médio</v>
      </c>
      <c r="L21" s="154"/>
      <c r="M21" s="154"/>
      <c r="N21" s="154"/>
      <c r="O21" s="158" t="str">
        <f>Y5</f>
        <v>Residencial modesto e proletárias</v>
      </c>
      <c r="P21" s="158"/>
      <c r="Q21" s="158"/>
      <c r="R21" s="158"/>
      <c r="U21" s="28">
        <f t="shared" si="0"/>
        <v>15</v>
      </c>
      <c r="V21" s="29">
        <f t="shared" si="1"/>
        <v>0.17</v>
      </c>
      <c r="W21" s="29">
        <f t="shared" si="2"/>
        <v>0.10150000000000001</v>
      </c>
      <c r="X21" s="29">
        <f t="shared" si="3"/>
        <v>6.8000000000000005E-2</v>
      </c>
      <c r="Y21" s="29">
        <f t="shared" si="4"/>
        <v>3.4000000000000002E-2</v>
      </c>
      <c r="AA21" s="152"/>
      <c r="AB21" s="30">
        <v>15</v>
      </c>
      <c r="AC21" s="152"/>
      <c r="AD21" s="9">
        <f t="shared" si="9"/>
        <v>17</v>
      </c>
      <c r="AE21" s="152"/>
      <c r="AF21" s="9">
        <f t="shared" si="10"/>
        <v>10.15</v>
      </c>
      <c r="AG21" s="152"/>
      <c r="AH21" s="9">
        <f t="shared" si="11"/>
        <v>6.8000000000000007</v>
      </c>
      <c r="AI21" s="152"/>
      <c r="AJ21" s="9">
        <f t="shared" si="12"/>
        <v>3.4000000000000004</v>
      </c>
      <c r="AM21" s="7"/>
      <c r="AN21" s="7"/>
      <c r="AO21" s="7"/>
      <c r="AP21" s="7"/>
    </row>
    <row r="22" spans="1:42" ht="20.100000000000001" customHeight="1" x14ac:dyDescent="0.25">
      <c r="A22" s="154"/>
      <c r="B22" s="154"/>
      <c r="C22" s="154"/>
      <c r="D22" s="154"/>
      <c r="E22" s="154"/>
      <c r="F22" s="154"/>
      <c r="G22" s="154"/>
      <c r="H22" s="154"/>
      <c r="I22" s="154"/>
      <c r="J22" s="154"/>
      <c r="K22" s="154"/>
      <c r="L22" s="154"/>
      <c r="M22" s="154"/>
      <c r="N22" s="154"/>
      <c r="O22" s="158"/>
      <c r="P22" s="158"/>
      <c r="Q22" s="158"/>
      <c r="R22" s="158"/>
      <c r="U22" s="28">
        <f t="shared" si="0"/>
        <v>16</v>
      </c>
      <c r="V22" s="29">
        <f t="shared" si="1"/>
        <v>0.16200000000000001</v>
      </c>
      <c r="W22" s="29">
        <f t="shared" si="2"/>
        <v>9.6799999999999997E-2</v>
      </c>
      <c r="X22" s="29">
        <f t="shared" si="3"/>
        <v>6.480000000000001E-2</v>
      </c>
      <c r="Y22" s="29">
        <f t="shared" si="4"/>
        <v>3.2400000000000005E-2</v>
      </c>
      <c r="AA22" s="152"/>
      <c r="AB22" s="30">
        <v>16</v>
      </c>
      <c r="AC22" s="152"/>
      <c r="AD22" s="9">
        <f t="shared" si="9"/>
        <v>16.2</v>
      </c>
      <c r="AE22" s="152"/>
      <c r="AF22" s="9">
        <f t="shared" si="10"/>
        <v>9.68</v>
      </c>
      <c r="AG22" s="152"/>
      <c r="AH22" s="9">
        <f t="shared" si="11"/>
        <v>6.48</v>
      </c>
      <c r="AI22" s="152"/>
      <c r="AJ22" s="9">
        <f t="shared" si="12"/>
        <v>3.24</v>
      </c>
      <c r="AM22" s="7"/>
      <c r="AN22" s="7"/>
      <c r="AO22" s="7"/>
      <c r="AP22" s="7"/>
    </row>
    <row r="23" spans="1:42" ht="20.100000000000001" customHeight="1" x14ac:dyDescent="0.25">
      <c r="A23" s="159">
        <v>0</v>
      </c>
      <c r="B23" s="159"/>
      <c r="C23" s="160">
        <f t="shared" ref="C23:C53" si="13">V6</f>
        <v>0.25</v>
      </c>
      <c r="D23" s="160"/>
      <c r="E23" s="160"/>
      <c r="F23" s="160"/>
      <c r="G23" s="160">
        <f t="shared" ref="G23:G53" si="14">W6</f>
        <v>0.15</v>
      </c>
      <c r="H23" s="160"/>
      <c r="I23" s="160"/>
      <c r="J23" s="160"/>
      <c r="K23" s="160">
        <f t="shared" ref="K23:K53" si="15">X6</f>
        <v>0.1</v>
      </c>
      <c r="L23" s="160"/>
      <c r="M23" s="160"/>
      <c r="N23" s="160"/>
      <c r="O23" s="160">
        <f t="shared" ref="O23:O53" si="16">Y6</f>
        <v>0.05</v>
      </c>
      <c r="P23" s="160"/>
      <c r="Q23" s="160"/>
      <c r="R23" s="160"/>
      <c r="U23" s="28">
        <f t="shared" si="0"/>
        <v>17</v>
      </c>
      <c r="V23" s="29">
        <f t="shared" si="1"/>
        <v>0.154</v>
      </c>
      <c r="W23" s="29">
        <f t="shared" si="2"/>
        <v>9.2100000000000015E-2</v>
      </c>
      <c r="X23" s="29">
        <f t="shared" si="3"/>
        <v>6.1600000000000002E-2</v>
      </c>
      <c r="Y23" s="29">
        <f t="shared" si="4"/>
        <v>3.0800000000000001E-2</v>
      </c>
      <c r="AA23" s="152"/>
      <c r="AB23" s="30">
        <v>17</v>
      </c>
      <c r="AC23" s="152"/>
      <c r="AD23" s="9">
        <f t="shared" si="9"/>
        <v>15.399999999999999</v>
      </c>
      <c r="AE23" s="152"/>
      <c r="AF23" s="9">
        <f t="shared" si="10"/>
        <v>9.2100000000000009</v>
      </c>
      <c r="AG23" s="152"/>
      <c r="AH23" s="9">
        <f t="shared" si="11"/>
        <v>6.16</v>
      </c>
      <c r="AI23" s="152"/>
      <c r="AJ23" s="9">
        <f t="shared" si="12"/>
        <v>3.08</v>
      </c>
      <c r="AM23" s="7"/>
      <c r="AN23" s="7"/>
      <c r="AO23" s="7"/>
      <c r="AP23" s="7"/>
    </row>
    <row r="24" spans="1:42" ht="20.100000000000001" customHeight="1" x14ac:dyDescent="0.25">
      <c r="A24" s="159">
        <v>1</v>
      </c>
      <c r="B24" s="159"/>
      <c r="C24" s="156">
        <f t="shared" si="13"/>
        <v>0.24600000000000002</v>
      </c>
      <c r="D24" s="156"/>
      <c r="E24" s="156"/>
      <c r="F24" s="156"/>
      <c r="G24" s="156">
        <f t="shared" si="14"/>
        <v>0.14749999999999999</v>
      </c>
      <c r="H24" s="156"/>
      <c r="I24" s="156"/>
      <c r="J24" s="156"/>
      <c r="K24" s="156">
        <f t="shared" si="15"/>
        <v>9.8400000000000001E-2</v>
      </c>
      <c r="L24" s="156"/>
      <c r="M24" s="156"/>
      <c r="N24" s="156"/>
      <c r="O24" s="156">
        <f t="shared" si="16"/>
        <v>4.9200000000000001E-2</v>
      </c>
      <c r="P24" s="156"/>
      <c r="Q24" s="156"/>
      <c r="R24" s="156"/>
      <c r="U24" s="28">
        <f t="shared" si="0"/>
        <v>18</v>
      </c>
      <c r="V24" s="29">
        <f t="shared" si="1"/>
        <v>0.14599999999999999</v>
      </c>
      <c r="W24" s="29">
        <f t="shared" si="2"/>
        <v>8.7400000000000005E-2</v>
      </c>
      <c r="X24" s="29">
        <f t="shared" si="3"/>
        <v>5.8400000000000001E-2</v>
      </c>
      <c r="Y24" s="29">
        <f t="shared" si="4"/>
        <v>2.92E-2</v>
      </c>
      <c r="AA24" s="152"/>
      <c r="AB24" s="30">
        <v>18</v>
      </c>
      <c r="AC24" s="152"/>
      <c r="AD24" s="9">
        <f t="shared" si="9"/>
        <v>14.6</v>
      </c>
      <c r="AE24" s="152"/>
      <c r="AF24" s="9">
        <f t="shared" si="10"/>
        <v>8.74</v>
      </c>
      <c r="AG24" s="152"/>
      <c r="AH24" s="9">
        <f t="shared" si="11"/>
        <v>5.84</v>
      </c>
      <c r="AI24" s="152"/>
      <c r="AJ24" s="9">
        <f t="shared" si="12"/>
        <v>2.92</v>
      </c>
      <c r="AM24" s="7"/>
      <c r="AN24" s="7"/>
      <c r="AO24" s="7"/>
      <c r="AP24" s="7"/>
    </row>
    <row r="25" spans="1:42" ht="20.100000000000001" customHeight="1" x14ac:dyDescent="0.25">
      <c r="A25" s="159">
        <v>2</v>
      </c>
      <c r="B25" s="159"/>
      <c r="C25" s="156">
        <f t="shared" si="13"/>
        <v>0.24199999999999999</v>
      </c>
      <c r="D25" s="156"/>
      <c r="E25" s="156"/>
      <c r="F25" s="156"/>
      <c r="G25" s="156">
        <f t="shared" si="14"/>
        <v>0.14499999999999999</v>
      </c>
      <c r="H25" s="156"/>
      <c r="I25" s="156"/>
      <c r="J25" s="156"/>
      <c r="K25" s="156">
        <f t="shared" si="15"/>
        <v>9.6799999999999997E-2</v>
      </c>
      <c r="L25" s="156"/>
      <c r="M25" s="156"/>
      <c r="N25" s="156"/>
      <c r="O25" s="156">
        <f t="shared" si="16"/>
        <v>4.8399999999999999E-2</v>
      </c>
      <c r="P25" s="156"/>
      <c r="Q25" s="156"/>
      <c r="R25" s="156"/>
      <c r="U25" s="28">
        <f t="shared" si="0"/>
        <v>19</v>
      </c>
      <c r="V25" s="29">
        <f t="shared" si="1"/>
        <v>0.13800000000000001</v>
      </c>
      <c r="W25" s="29">
        <f t="shared" si="2"/>
        <v>8.2699999999999996E-2</v>
      </c>
      <c r="X25" s="29">
        <f t="shared" si="3"/>
        <v>5.5200000000000006E-2</v>
      </c>
      <c r="Y25" s="29">
        <f t="shared" si="4"/>
        <v>2.7600000000000003E-2</v>
      </c>
      <c r="AA25" s="152"/>
      <c r="AB25" s="30">
        <v>19</v>
      </c>
      <c r="AC25" s="152"/>
      <c r="AD25" s="9">
        <f t="shared" si="9"/>
        <v>13.8</v>
      </c>
      <c r="AE25" s="152"/>
      <c r="AF25" s="9">
        <f t="shared" si="10"/>
        <v>8.27</v>
      </c>
      <c r="AG25" s="152"/>
      <c r="AH25" s="9">
        <f t="shared" si="11"/>
        <v>5.5200000000000005</v>
      </c>
      <c r="AI25" s="152"/>
      <c r="AJ25" s="9">
        <f t="shared" si="12"/>
        <v>2.7600000000000002</v>
      </c>
      <c r="AM25" s="7"/>
      <c r="AN25" s="7"/>
      <c r="AO25" s="7"/>
      <c r="AP25" s="7"/>
    </row>
    <row r="26" spans="1:42" ht="20.100000000000001" customHeight="1" x14ac:dyDescent="0.25">
      <c r="A26" s="159">
        <v>3</v>
      </c>
      <c r="B26" s="159"/>
      <c r="C26" s="156">
        <f t="shared" si="13"/>
        <v>0.23800000000000002</v>
      </c>
      <c r="D26" s="156"/>
      <c r="E26" s="156"/>
      <c r="F26" s="156"/>
      <c r="G26" s="156">
        <f t="shared" si="14"/>
        <v>0.14249999999999999</v>
      </c>
      <c r="H26" s="156"/>
      <c r="I26" s="156"/>
      <c r="J26" s="156"/>
      <c r="K26" s="156">
        <f t="shared" si="15"/>
        <v>9.5199999999999993E-2</v>
      </c>
      <c r="L26" s="156"/>
      <c r="M26" s="156"/>
      <c r="N26" s="156"/>
      <c r="O26" s="156">
        <f t="shared" si="16"/>
        <v>4.7599999999999996E-2</v>
      </c>
      <c r="P26" s="156"/>
      <c r="Q26" s="156"/>
      <c r="R26" s="156"/>
      <c r="U26" s="28">
        <f t="shared" si="0"/>
        <v>20</v>
      </c>
      <c r="V26" s="29">
        <f t="shared" si="1"/>
        <v>0.13</v>
      </c>
      <c r="W26" s="29">
        <f t="shared" si="2"/>
        <v>7.8E-2</v>
      </c>
      <c r="X26" s="29">
        <f t="shared" si="3"/>
        <v>5.2000000000000005E-2</v>
      </c>
      <c r="Y26" s="29">
        <f t="shared" si="4"/>
        <v>2.6000000000000002E-2</v>
      </c>
      <c r="AA26" s="152"/>
      <c r="AB26" s="30">
        <v>20</v>
      </c>
      <c r="AC26" s="152"/>
      <c r="AD26" s="9">
        <f t="shared" si="9"/>
        <v>13</v>
      </c>
      <c r="AE26" s="152"/>
      <c r="AF26" s="9">
        <f t="shared" si="10"/>
        <v>7.8</v>
      </c>
      <c r="AG26" s="152"/>
      <c r="AH26" s="9">
        <f t="shared" si="11"/>
        <v>5.2</v>
      </c>
      <c r="AI26" s="152"/>
      <c r="AJ26" s="9">
        <f t="shared" si="12"/>
        <v>2.6</v>
      </c>
      <c r="AM26" s="7"/>
      <c r="AN26" s="7"/>
      <c r="AO26" s="7"/>
      <c r="AP26" s="7"/>
    </row>
    <row r="27" spans="1:42" ht="20.100000000000001" customHeight="1" x14ac:dyDescent="0.25">
      <c r="A27" s="159">
        <v>4</v>
      </c>
      <c r="B27" s="159"/>
      <c r="C27" s="156">
        <f t="shared" si="13"/>
        <v>0.23399999999999999</v>
      </c>
      <c r="D27" s="156"/>
      <c r="E27" s="156"/>
      <c r="F27" s="156"/>
      <c r="G27" s="156">
        <f t="shared" si="14"/>
        <v>0.14000000000000001</v>
      </c>
      <c r="H27" s="156"/>
      <c r="I27" s="156"/>
      <c r="J27" s="156"/>
      <c r="K27" s="156">
        <f t="shared" si="15"/>
        <v>9.3599999999999989E-2</v>
      </c>
      <c r="L27" s="156"/>
      <c r="M27" s="156"/>
      <c r="N27" s="156"/>
      <c r="O27" s="156">
        <f t="shared" si="16"/>
        <v>4.6799999999999994E-2</v>
      </c>
      <c r="P27" s="156"/>
      <c r="Q27" s="156"/>
      <c r="R27" s="156"/>
      <c r="U27" s="28">
        <f t="shared" si="0"/>
        <v>21</v>
      </c>
      <c r="V27" s="29">
        <f t="shared" si="1"/>
        <v>0.11699999999999999</v>
      </c>
      <c r="W27" s="29">
        <f t="shared" si="2"/>
        <v>7.0199999999999999E-2</v>
      </c>
      <c r="X27" s="29">
        <f t="shared" si="3"/>
        <v>4.6799999999999994E-2</v>
      </c>
      <c r="Y27" s="29">
        <f t="shared" si="4"/>
        <v>2.3399999999999997E-2</v>
      </c>
      <c r="AA27" s="152"/>
      <c r="AB27" s="30">
        <v>21</v>
      </c>
      <c r="AC27" s="152"/>
      <c r="AD27" s="9">
        <f>13-((AB27-20)*(13/10))</f>
        <v>11.7</v>
      </c>
      <c r="AE27" s="152">
        <f>13-((AC27-20)*(13/10))</f>
        <v>39</v>
      </c>
      <c r="AF27" s="9">
        <f t="shared" ref="AF27:AF36" si="17">7.8-(AB27-20)*7.8/10</f>
        <v>7.02</v>
      </c>
      <c r="AG27" s="152">
        <f>13-((AE27-20)*(13/10))</f>
        <v>-11.7</v>
      </c>
      <c r="AH27" s="9">
        <f t="shared" ref="AH27:AH36" si="18">5.2-(AB27-20)*5.2/10</f>
        <v>4.68</v>
      </c>
      <c r="AI27" s="152">
        <f>13-((AG27-20)*(13/10))</f>
        <v>54.21</v>
      </c>
      <c r="AJ27" s="9">
        <f t="shared" ref="AJ27:AJ36" si="19">2.6-(AB27-20)*2.6/10</f>
        <v>2.34</v>
      </c>
      <c r="AM27" s="7"/>
      <c r="AN27" s="7"/>
      <c r="AO27" s="7"/>
      <c r="AP27" s="7"/>
    </row>
    <row r="28" spans="1:42" ht="20.100000000000001" customHeight="1" x14ac:dyDescent="0.25">
      <c r="A28" s="159">
        <v>5</v>
      </c>
      <c r="B28" s="159"/>
      <c r="C28" s="156">
        <f t="shared" si="13"/>
        <v>0.23</v>
      </c>
      <c r="D28" s="156"/>
      <c r="E28" s="156"/>
      <c r="F28" s="156"/>
      <c r="G28" s="156">
        <f t="shared" si="14"/>
        <v>0.13750000000000001</v>
      </c>
      <c r="H28" s="156"/>
      <c r="I28" s="156"/>
      <c r="J28" s="156"/>
      <c r="K28" s="156">
        <f t="shared" si="15"/>
        <v>9.1999999999999998E-2</v>
      </c>
      <c r="L28" s="156"/>
      <c r="M28" s="156"/>
      <c r="N28" s="156"/>
      <c r="O28" s="156">
        <f t="shared" si="16"/>
        <v>4.5999999999999999E-2</v>
      </c>
      <c r="P28" s="156"/>
      <c r="Q28" s="156"/>
      <c r="R28" s="156"/>
      <c r="U28" s="28">
        <f t="shared" si="0"/>
        <v>22</v>
      </c>
      <c r="V28" s="29">
        <f t="shared" si="1"/>
        <v>0.10400000000000001</v>
      </c>
      <c r="W28" s="29">
        <f t="shared" si="2"/>
        <v>6.2400000000000004E-2</v>
      </c>
      <c r="X28" s="29">
        <f t="shared" si="3"/>
        <v>4.1599999999999998E-2</v>
      </c>
      <c r="Y28" s="29">
        <f t="shared" si="4"/>
        <v>2.0799999999999999E-2</v>
      </c>
      <c r="AA28" s="152"/>
      <c r="AB28" s="30">
        <v>22</v>
      </c>
      <c r="AC28" s="152"/>
      <c r="AD28" s="9">
        <f t="shared" ref="AD28:AD36" si="20">13-((AB28-20)*(13/10))</f>
        <v>10.4</v>
      </c>
      <c r="AE28" s="152"/>
      <c r="AF28" s="9">
        <f t="shared" si="17"/>
        <v>6.24</v>
      </c>
      <c r="AG28" s="152"/>
      <c r="AH28" s="9">
        <f t="shared" si="18"/>
        <v>4.16</v>
      </c>
      <c r="AI28" s="152"/>
      <c r="AJ28" s="9">
        <f t="shared" si="19"/>
        <v>2.08</v>
      </c>
      <c r="AM28" s="7"/>
      <c r="AN28" s="7"/>
      <c r="AO28" s="7"/>
      <c r="AP28" s="7"/>
    </row>
    <row r="29" spans="1:42" ht="20.100000000000001" customHeight="1" x14ac:dyDescent="0.25">
      <c r="A29" s="159">
        <v>6</v>
      </c>
      <c r="B29" s="159"/>
      <c r="C29" s="156">
        <f t="shared" si="13"/>
        <v>0.22600000000000001</v>
      </c>
      <c r="D29" s="156"/>
      <c r="E29" s="156"/>
      <c r="F29" s="156"/>
      <c r="G29" s="156">
        <f t="shared" si="14"/>
        <v>0.13500000000000001</v>
      </c>
      <c r="H29" s="156"/>
      <c r="I29" s="156"/>
      <c r="J29" s="156"/>
      <c r="K29" s="156">
        <f t="shared" si="15"/>
        <v>9.0399999999999994E-2</v>
      </c>
      <c r="L29" s="156"/>
      <c r="M29" s="156"/>
      <c r="N29" s="156"/>
      <c r="O29" s="156">
        <f t="shared" si="16"/>
        <v>4.5199999999999997E-2</v>
      </c>
      <c r="P29" s="156"/>
      <c r="Q29" s="156"/>
      <c r="R29" s="156"/>
      <c r="U29" s="28">
        <f t="shared" si="0"/>
        <v>23</v>
      </c>
      <c r="V29" s="29">
        <f t="shared" si="1"/>
        <v>9.0999999999999998E-2</v>
      </c>
      <c r="W29" s="29">
        <f t="shared" si="2"/>
        <v>5.4600000000000003E-2</v>
      </c>
      <c r="X29" s="29">
        <f t="shared" si="3"/>
        <v>3.6400000000000002E-2</v>
      </c>
      <c r="Y29" s="29">
        <f t="shared" si="4"/>
        <v>1.8200000000000001E-2</v>
      </c>
      <c r="AA29" s="152"/>
      <c r="AB29" s="30">
        <v>23</v>
      </c>
      <c r="AC29" s="152"/>
      <c r="AD29" s="9">
        <f t="shared" si="20"/>
        <v>9.1</v>
      </c>
      <c r="AE29" s="152"/>
      <c r="AF29" s="9">
        <f t="shared" si="17"/>
        <v>5.46</v>
      </c>
      <c r="AG29" s="152"/>
      <c r="AH29" s="9">
        <f t="shared" si="18"/>
        <v>3.64</v>
      </c>
      <c r="AI29" s="152"/>
      <c r="AJ29" s="9">
        <f t="shared" si="19"/>
        <v>1.82</v>
      </c>
      <c r="AM29" s="7"/>
      <c r="AN29" s="7"/>
      <c r="AO29" s="7"/>
      <c r="AP29" s="7"/>
    </row>
    <row r="30" spans="1:42" ht="20.100000000000001" customHeight="1" x14ac:dyDescent="0.25">
      <c r="A30" s="159">
        <v>7</v>
      </c>
      <c r="B30" s="159"/>
      <c r="C30" s="156">
        <f t="shared" si="13"/>
        <v>0.222</v>
      </c>
      <c r="D30" s="156"/>
      <c r="E30" s="156"/>
      <c r="F30" s="156"/>
      <c r="G30" s="156">
        <f t="shared" si="14"/>
        <v>0.13250000000000001</v>
      </c>
      <c r="H30" s="156"/>
      <c r="I30" s="156"/>
      <c r="J30" s="156"/>
      <c r="K30" s="156">
        <f t="shared" si="15"/>
        <v>8.879999999999999E-2</v>
      </c>
      <c r="L30" s="156"/>
      <c r="M30" s="156"/>
      <c r="N30" s="156"/>
      <c r="O30" s="156">
        <f t="shared" si="16"/>
        <v>4.4399999999999995E-2</v>
      </c>
      <c r="P30" s="156"/>
      <c r="Q30" s="156"/>
      <c r="R30" s="156"/>
      <c r="U30" s="28">
        <f t="shared" si="0"/>
        <v>24</v>
      </c>
      <c r="V30" s="29">
        <f t="shared" si="1"/>
        <v>7.8E-2</v>
      </c>
      <c r="W30" s="29">
        <f t="shared" si="2"/>
        <v>4.6799999999999994E-2</v>
      </c>
      <c r="X30" s="29">
        <f t="shared" si="3"/>
        <v>3.1200000000000002E-2</v>
      </c>
      <c r="Y30" s="29">
        <f t="shared" si="4"/>
        <v>1.5600000000000001E-2</v>
      </c>
      <c r="AA30" s="152"/>
      <c r="AB30" s="30">
        <v>24</v>
      </c>
      <c r="AC30" s="152"/>
      <c r="AD30" s="9">
        <f t="shared" si="20"/>
        <v>7.8</v>
      </c>
      <c r="AE30" s="152"/>
      <c r="AF30" s="9">
        <f t="shared" si="17"/>
        <v>4.68</v>
      </c>
      <c r="AG30" s="152"/>
      <c r="AH30" s="9">
        <f t="shared" si="18"/>
        <v>3.12</v>
      </c>
      <c r="AI30" s="152"/>
      <c r="AJ30" s="9">
        <f t="shared" si="19"/>
        <v>1.56</v>
      </c>
      <c r="AM30" s="7"/>
      <c r="AN30" s="7"/>
      <c r="AO30" s="7"/>
      <c r="AP30" s="7"/>
    </row>
    <row r="31" spans="1:42" ht="20.100000000000001" customHeight="1" x14ac:dyDescent="0.25">
      <c r="A31" s="159">
        <v>8</v>
      </c>
      <c r="B31" s="159"/>
      <c r="C31" s="156">
        <f t="shared" si="13"/>
        <v>0.218</v>
      </c>
      <c r="D31" s="156"/>
      <c r="E31" s="156"/>
      <c r="F31" s="156"/>
      <c r="G31" s="156">
        <f t="shared" si="14"/>
        <v>0.13</v>
      </c>
      <c r="H31" s="156"/>
      <c r="I31" s="156"/>
      <c r="J31" s="156"/>
      <c r="K31" s="156">
        <f t="shared" si="15"/>
        <v>8.72E-2</v>
      </c>
      <c r="L31" s="156"/>
      <c r="M31" s="156"/>
      <c r="N31" s="156"/>
      <c r="O31" s="156">
        <f t="shared" si="16"/>
        <v>4.36E-2</v>
      </c>
      <c r="P31" s="156"/>
      <c r="Q31" s="156"/>
      <c r="R31" s="156"/>
      <c r="U31" s="28">
        <f t="shared" si="0"/>
        <v>25</v>
      </c>
      <c r="V31" s="29">
        <f t="shared" si="1"/>
        <v>6.5000000000000002E-2</v>
      </c>
      <c r="W31" s="29">
        <f t="shared" si="2"/>
        <v>3.9E-2</v>
      </c>
      <c r="X31" s="29">
        <f t="shared" si="3"/>
        <v>2.6000000000000002E-2</v>
      </c>
      <c r="Y31" s="29">
        <f t="shared" si="4"/>
        <v>1.3000000000000001E-2</v>
      </c>
      <c r="AA31" s="152"/>
      <c r="AB31" s="30">
        <v>25</v>
      </c>
      <c r="AC31" s="152"/>
      <c r="AD31" s="9">
        <f t="shared" si="20"/>
        <v>6.5</v>
      </c>
      <c r="AE31" s="152"/>
      <c r="AF31" s="9">
        <f t="shared" si="17"/>
        <v>3.9</v>
      </c>
      <c r="AG31" s="152"/>
      <c r="AH31" s="9">
        <f t="shared" si="18"/>
        <v>2.6</v>
      </c>
      <c r="AI31" s="152"/>
      <c r="AJ31" s="9">
        <f t="shared" si="19"/>
        <v>1.3</v>
      </c>
      <c r="AM31" s="7"/>
      <c r="AN31" s="7"/>
      <c r="AO31" s="7"/>
      <c r="AP31" s="7"/>
    </row>
    <row r="32" spans="1:42" ht="20.100000000000001" customHeight="1" x14ac:dyDescent="0.25">
      <c r="A32" s="159">
        <v>9</v>
      </c>
      <c r="B32" s="159"/>
      <c r="C32" s="156">
        <f t="shared" si="13"/>
        <v>0.214</v>
      </c>
      <c r="D32" s="156"/>
      <c r="E32" s="156"/>
      <c r="F32" s="156"/>
      <c r="G32" s="156">
        <f t="shared" si="14"/>
        <v>0.1275</v>
      </c>
      <c r="H32" s="156"/>
      <c r="I32" s="156"/>
      <c r="J32" s="156"/>
      <c r="K32" s="156">
        <f t="shared" si="15"/>
        <v>8.5600000000000009E-2</v>
      </c>
      <c r="L32" s="156"/>
      <c r="M32" s="156"/>
      <c r="N32" s="156"/>
      <c r="O32" s="156">
        <f t="shared" si="16"/>
        <v>4.2800000000000005E-2</v>
      </c>
      <c r="P32" s="156"/>
      <c r="Q32" s="156"/>
      <c r="R32" s="156"/>
      <c r="U32" s="28">
        <f t="shared" si="0"/>
        <v>26</v>
      </c>
      <c r="V32" s="29">
        <f t="shared" si="1"/>
        <v>5.1999999999999991E-2</v>
      </c>
      <c r="W32" s="29">
        <f t="shared" si="2"/>
        <v>3.1200000000000002E-2</v>
      </c>
      <c r="X32" s="29">
        <f t="shared" si="3"/>
        <v>2.0799999999999999E-2</v>
      </c>
      <c r="Y32" s="29">
        <f t="shared" si="4"/>
        <v>1.04E-2</v>
      </c>
      <c r="AA32" s="152"/>
      <c r="AB32" s="30">
        <v>26</v>
      </c>
      <c r="AC32" s="152"/>
      <c r="AD32" s="9">
        <f t="shared" si="20"/>
        <v>5.1999999999999993</v>
      </c>
      <c r="AE32" s="152"/>
      <c r="AF32" s="9">
        <f t="shared" si="17"/>
        <v>3.12</v>
      </c>
      <c r="AG32" s="152"/>
      <c r="AH32" s="9">
        <f t="shared" si="18"/>
        <v>2.08</v>
      </c>
      <c r="AI32" s="152"/>
      <c r="AJ32" s="9">
        <f t="shared" si="19"/>
        <v>1.04</v>
      </c>
      <c r="AM32" s="7"/>
      <c r="AN32" s="7"/>
      <c r="AO32" s="7"/>
      <c r="AP32" s="7"/>
    </row>
    <row r="33" spans="1:42" ht="20.100000000000001" customHeight="1" x14ac:dyDescent="0.25">
      <c r="A33" s="159">
        <v>10</v>
      </c>
      <c r="B33" s="159"/>
      <c r="C33" s="156">
        <f t="shared" si="13"/>
        <v>0.21</v>
      </c>
      <c r="D33" s="156"/>
      <c r="E33" s="156"/>
      <c r="F33" s="156"/>
      <c r="G33" s="156">
        <f t="shared" si="14"/>
        <v>0.125</v>
      </c>
      <c r="H33" s="156"/>
      <c r="I33" s="156"/>
      <c r="J33" s="156"/>
      <c r="K33" s="156">
        <f t="shared" si="15"/>
        <v>8.4000000000000005E-2</v>
      </c>
      <c r="L33" s="156"/>
      <c r="M33" s="156"/>
      <c r="N33" s="156"/>
      <c r="O33" s="156">
        <f t="shared" si="16"/>
        <v>4.2000000000000003E-2</v>
      </c>
      <c r="P33" s="156"/>
      <c r="Q33" s="156"/>
      <c r="R33" s="156"/>
      <c r="U33" s="28">
        <f t="shared" si="0"/>
        <v>27</v>
      </c>
      <c r="V33" s="29">
        <f t="shared" si="1"/>
        <v>3.9000000000000007E-2</v>
      </c>
      <c r="W33" s="29">
        <f t="shared" si="2"/>
        <v>2.3399999999999997E-2</v>
      </c>
      <c r="X33" s="29">
        <f t="shared" si="3"/>
        <v>1.5600000000000004E-2</v>
      </c>
      <c r="Y33" s="29">
        <f t="shared" si="4"/>
        <v>7.8000000000000022E-3</v>
      </c>
      <c r="AA33" s="152"/>
      <c r="AB33" s="30">
        <v>27</v>
      </c>
      <c r="AC33" s="152"/>
      <c r="AD33" s="9">
        <f t="shared" si="20"/>
        <v>3.9000000000000004</v>
      </c>
      <c r="AE33" s="152"/>
      <c r="AF33" s="9">
        <f t="shared" si="17"/>
        <v>2.34</v>
      </c>
      <c r="AG33" s="152"/>
      <c r="AH33" s="9">
        <f t="shared" si="18"/>
        <v>1.5600000000000005</v>
      </c>
      <c r="AI33" s="152"/>
      <c r="AJ33" s="9">
        <f t="shared" si="19"/>
        <v>0.78000000000000025</v>
      </c>
      <c r="AM33" s="7"/>
      <c r="AN33" s="7"/>
      <c r="AO33" s="7"/>
      <c r="AP33" s="7"/>
    </row>
    <row r="34" spans="1:42" ht="20.100000000000001" customHeight="1" x14ac:dyDescent="0.25">
      <c r="A34" s="159">
        <v>11</v>
      </c>
      <c r="B34" s="159"/>
      <c r="C34" s="156">
        <f t="shared" si="13"/>
        <v>0.20199999999999999</v>
      </c>
      <c r="D34" s="156"/>
      <c r="E34" s="156"/>
      <c r="F34" s="156"/>
      <c r="G34" s="156">
        <f t="shared" si="14"/>
        <v>0.12029999999999999</v>
      </c>
      <c r="H34" s="156"/>
      <c r="I34" s="156"/>
      <c r="J34" s="156"/>
      <c r="K34" s="156">
        <f t="shared" si="15"/>
        <v>8.0799999999999997E-2</v>
      </c>
      <c r="L34" s="156"/>
      <c r="M34" s="156"/>
      <c r="N34" s="156"/>
      <c r="O34" s="156">
        <f t="shared" si="16"/>
        <v>4.0399999999999998E-2</v>
      </c>
      <c r="P34" s="156"/>
      <c r="Q34" s="156"/>
      <c r="R34" s="156"/>
      <c r="U34" s="28">
        <f t="shared" si="0"/>
        <v>28</v>
      </c>
      <c r="V34" s="29">
        <f t="shared" si="1"/>
        <v>2.5999999999999995E-2</v>
      </c>
      <c r="W34" s="29">
        <f t="shared" si="2"/>
        <v>1.5599999999999996E-2</v>
      </c>
      <c r="X34" s="29">
        <f t="shared" si="3"/>
        <v>1.04E-2</v>
      </c>
      <c r="Y34" s="29">
        <f t="shared" si="4"/>
        <v>5.1999999999999998E-3</v>
      </c>
      <c r="AA34" s="152"/>
      <c r="AB34" s="30">
        <v>28</v>
      </c>
      <c r="AC34" s="152"/>
      <c r="AD34" s="9">
        <f t="shared" si="20"/>
        <v>2.5999999999999996</v>
      </c>
      <c r="AE34" s="152"/>
      <c r="AF34" s="9">
        <f t="shared" si="17"/>
        <v>1.5599999999999996</v>
      </c>
      <c r="AG34" s="152"/>
      <c r="AH34" s="9">
        <f t="shared" si="18"/>
        <v>1.04</v>
      </c>
      <c r="AI34" s="152"/>
      <c r="AJ34" s="9">
        <f t="shared" si="19"/>
        <v>0.52</v>
      </c>
      <c r="AM34" s="7"/>
      <c r="AN34" s="7"/>
      <c r="AO34" s="7"/>
      <c r="AP34" s="7"/>
    </row>
    <row r="35" spans="1:42" ht="20.100000000000001" customHeight="1" x14ac:dyDescent="0.25">
      <c r="A35" s="159">
        <v>12</v>
      </c>
      <c r="B35" s="159"/>
      <c r="C35" s="156">
        <f t="shared" si="13"/>
        <v>0.19399999999999998</v>
      </c>
      <c r="D35" s="156"/>
      <c r="E35" s="156"/>
      <c r="F35" s="156"/>
      <c r="G35" s="156">
        <f t="shared" si="14"/>
        <v>0.11560000000000001</v>
      </c>
      <c r="H35" s="156"/>
      <c r="I35" s="156"/>
      <c r="J35" s="156"/>
      <c r="K35" s="156">
        <f t="shared" si="15"/>
        <v>7.7600000000000002E-2</v>
      </c>
      <c r="L35" s="156"/>
      <c r="M35" s="156"/>
      <c r="N35" s="156"/>
      <c r="O35" s="156">
        <f t="shared" si="16"/>
        <v>3.8800000000000001E-2</v>
      </c>
      <c r="P35" s="156"/>
      <c r="Q35" s="156"/>
      <c r="R35" s="156"/>
      <c r="U35" s="28">
        <f t="shared" si="0"/>
        <v>29</v>
      </c>
      <c r="V35" s="29">
        <f t="shared" si="1"/>
        <v>1.2999999999999989E-2</v>
      </c>
      <c r="W35" s="29">
        <f t="shared" si="2"/>
        <v>7.7999999999999936E-3</v>
      </c>
      <c r="X35" s="29">
        <f t="shared" si="3"/>
        <v>5.1999999999999954E-3</v>
      </c>
      <c r="Y35" s="29">
        <f t="shared" si="4"/>
        <v>2.5999999999999977E-3</v>
      </c>
      <c r="AA35" s="152"/>
      <c r="AB35" s="30">
        <v>29</v>
      </c>
      <c r="AC35" s="152"/>
      <c r="AD35" s="9">
        <f t="shared" si="20"/>
        <v>1.2999999999999989</v>
      </c>
      <c r="AE35" s="152"/>
      <c r="AF35" s="9">
        <f t="shared" si="17"/>
        <v>0.77999999999999936</v>
      </c>
      <c r="AG35" s="152"/>
      <c r="AH35" s="9">
        <f t="shared" si="18"/>
        <v>0.51999999999999957</v>
      </c>
      <c r="AI35" s="152"/>
      <c r="AJ35" s="9">
        <f t="shared" si="19"/>
        <v>0.25999999999999979</v>
      </c>
      <c r="AM35" s="7"/>
      <c r="AN35" s="7"/>
      <c r="AO35" s="7"/>
      <c r="AP35" s="7"/>
    </row>
    <row r="36" spans="1:42" ht="20.100000000000001" customHeight="1" x14ac:dyDescent="0.25">
      <c r="A36" s="159">
        <v>13</v>
      </c>
      <c r="B36" s="159"/>
      <c r="C36" s="156">
        <f t="shared" si="13"/>
        <v>0.18600000000000003</v>
      </c>
      <c r="D36" s="156"/>
      <c r="E36" s="156"/>
      <c r="F36" s="156"/>
      <c r="G36" s="156">
        <f t="shared" si="14"/>
        <v>0.1109</v>
      </c>
      <c r="H36" s="156"/>
      <c r="I36" s="156"/>
      <c r="J36" s="156"/>
      <c r="K36" s="156">
        <f t="shared" si="15"/>
        <v>7.4400000000000008E-2</v>
      </c>
      <c r="L36" s="156"/>
      <c r="M36" s="156"/>
      <c r="N36" s="156"/>
      <c r="O36" s="156">
        <f t="shared" si="16"/>
        <v>3.7200000000000004E-2</v>
      </c>
      <c r="P36" s="156"/>
      <c r="Q36" s="156"/>
      <c r="R36" s="156"/>
      <c r="U36" s="28">
        <f t="shared" si="0"/>
        <v>30</v>
      </c>
      <c r="V36" s="29">
        <f t="shared" si="1"/>
        <v>0</v>
      </c>
      <c r="W36" s="29">
        <f t="shared" si="2"/>
        <v>0</v>
      </c>
      <c r="X36" s="29">
        <f t="shared" si="3"/>
        <v>0</v>
      </c>
      <c r="Y36" s="29">
        <f t="shared" si="4"/>
        <v>0</v>
      </c>
      <c r="AA36" s="152"/>
      <c r="AB36" s="30">
        <v>30</v>
      </c>
      <c r="AC36" s="152"/>
      <c r="AD36" s="9">
        <f t="shared" si="20"/>
        <v>0</v>
      </c>
      <c r="AE36" s="152"/>
      <c r="AF36" s="9">
        <f t="shared" si="17"/>
        <v>0</v>
      </c>
      <c r="AG36" s="152"/>
      <c r="AH36" s="9">
        <f t="shared" si="18"/>
        <v>0</v>
      </c>
      <c r="AI36" s="152"/>
      <c r="AJ36" s="9">
        <f t="shared" si="19"/>
        <v>0</v>
      </c>
      <c r="AM36" s="7"/>
      <c r="AN36" s="7"/>
      <c r="AO36" s="7"/>
      <c r="AP36" s="7"/>
    </row>
    <row r="37" spans="1:42" ht="20.100000000000001" customHeight="1" x14ac:dyDescent="0.25">
      <c r="A37" s="159">
        <v>14</v>
      </c>
      <c r="B37" s="159"/>
      <c r="C37" s="156">
        <f t="shared" si="13"/>
        <v>0.17800000000000002</v>
      </c>
      <c r="D37" s="156"/>
      <c r="E37" s="156"/>
      <c r="F37" s="156"/>
      <c r="G37" s="156">
        <f t="shared" si="14"/>
        <v>0.10619999999999999</v>
      </c>
      <c r="H37" s="156"/>
      <c r="I37" s="156"/>
      <c r="J37" s="156"/>
      <c r="K37" s="156">
        <f t="shared" si="15"/>
        <v>7.1199999999999999E-2</v>
      </c>
      <c r="L37" s="156"/>
      <c r="M37" s="156"/>
      <c r="N37" s="156"/>
      <c r="O37" s="156">
        <f t="shared" si="16"/>
        <v>3.56E-2</v>
      </c>
      <c r="P37" s="156"/>
      <c r="Q37" s="156"/>
      <c r="R37" s="156"/>
      <c r="U37" s="28">
        <f t="shared" ref="U37:U76" si="21">U36+1</f>
        <v>31</v>
      </c>
      <c r="V37" s="29">
        <f t="shared" ref="V37:V76" si="22">$V$36</f>
        <v>0</v>
      </c>
      <c r="W37" s="29">
        <f t="shared" ref="W37:W76" si="23">$W$36</f>
        <v>0</v>
      </c>
      <c r="X37" s="29">
        <f t="shared" ref="X37:X76" si="24">$X$36</f>
        <v>0</v>
      </c>
      <c r="Y37" s="29">
        <f t="shared" ref="Y37:Y76" si="25">$Y$36</f>
        <v>0</v>
      </c>
    </row>
    <row r="38" spans="1:42" ht="20.100000000000001" customHeight="1" x14ac:dyDescent="0.25">
      <c r="A38" s="159">
        <v>15</v>
      </c>
      <c r="B38" s="159"/>
      <c r="C38" s="156">
        <f t="shared" si="13"/>
        <v>0.17</v>
      </c>
      <c r="D38" s="156"/>
      <c r="E38" s="156"/>
      <c r="F38" s="156"/>
      <c r="G38" s="156">
        <f t="shared" si="14"/>
        <v>0.10150000000000001</v>
      </c>
      <c r="H38" s="156"/>
      <c r="I38" s="156"/>
      <c r="J38" s="156"/>
      <c r="K38" s="156">
        <f t="shared" si="15"/>
        <v>6.8000000000000005E-2</v>
      </c>
      <c r="L38" s="156"/>
      <c r="M38" s="156"/>
      <c r="N38" s="156"/>
      <c r="O38" s="156">
        <f t="shared" si="16"/>
        <v>3.4000000000000002E-2</v>
      </c>
      <c r="P38" s="156"/>
      <c r="Q38" s="156"/>
      <c r="R38" s="156"/>
      <c r="U38" s="28">
        <f t="shared" si="21"/>
        <v>32</v>
      </c>
      <c r="V38" s="29">
        <f t="shared" si="22"/>
        <v>0</v>
      </c>
      <c r="W38" s="29">
        <f t="shared" si="23"/>
        <v>0</v>
      </c>
      <c r="X38" s="29">
        <f t="shared" si="24"/>
        <v>0</v>
      </c>
      <c r="Y38" s="29">
        <f t="shared" si="25"/>
        <v>0</v>
      </c>
    </row>
    <row r="39" spans="1:42" ht="20.100000000000001" customHeight="1" x14ac:dyDescent="0.25">
      <c r="A39" s="159">
        <v>16</v>
      </c>
      <c r="B39" s="159"/>
      <c r="C39" s="156">
        <f t="shared" si="13"/>
        <v>0.16200000000000001</v>
      </c>
      <c r="D39" s="156"/>
      <c r="E39" s="156"/>
      <c r="F39" s="156"/>
      <c r="G39" s="156">
        <f t="shared" si="14"/>
        <v>9.6799999999999997E-2</v>
      </c>
      <c r="H39" s="156"/>
      <c r="I39" s="156"/>
      <c r="J39" s="156"/>
      <c r="K39" s="156">
        <f t="shared" si="15"/>
        <v>6.480000000000001E-2</v>
      </c>
      <c r="L39" s="156"/>
      <c r="M39" s="156"/>
      <c r="N39" s="156"/>
      <c r="O39" s="156">
        <f t="shared" si="16"/>
        <v>3.2400000000000005E-2</v>
      </c>
      <c r="P39" s="156"/>
      <c r="Q39" s="156"/>
      <c r="R39" s="156"/>
      <c r="U39" s="28">
        <f t="shared" si="21"/>
        <v>33</v>
      </c>
      <c r="V39" s="29">
        <f t="shared" si="22"/>
        <v>0</v>
      </c>
      <c r="W39" s="29">
        <f t="shared" si="23"/>
        <v>0</v>
      </c>
      <c r="X39" s="29">
        <f t="shared" si="24"/>
        <v>0</v>
      </c>
      <c r="Y39" s="29">
        <f t="shared" si="25"/>
        <v>0</v>
      </c>
    </row>
    <row r="40" spans="1:42" ht="20.100000000000001" customHeight="1" x14ac:dyDescent="0.25">
      <c r="A40" s="159">
        <v>17</v>
      </c>
      <c r="B40" s="159"/>
      <c r="C40" s="156">
        <f t="shared" si="13"/>
        <v>0.154</v>
      </c>
      <c r="D40" s="156"/>
      <c r="E40" s="156"/>
      <c r="F40" s="156"/>
      <c r="G40" s="156">
        <f t="shared" si="14"/>
        <v>9.2100000000000015E-2</v>
      </c>
      <c r="H40" s="156"/>
      <c r="I40" s="156"/>
      <c r="J40" s="156"/>
      <c r="K40" s="156">
        <f t="shared" si="15"/>
        <v>6.1600000000000002E-2</v>
      </c>
      <c r="L40" s="156"/>
      <c r="M40" s="156"/>
      <c r="N40" s="156"/>
      <c r="O40" s="156">
        <f t="shared" si="16"/>
        <v>3.0800000000000001E-2</v>
      </c>
      <c r="P40" s="156"/>
      <c r="Q40" s="156"/>
      <c r="R40" s="156"/>
      <c r="U40" s="28">
        <f t="shared" si="21"/>
        <v>34</v>
      </c>
      <c r="V40" s="29">
        <f t="shared" si="22"/>
        <v>0</v>
      </c>
      <c r="W40" s="29">
        <f t="shared" si="23"/>
        <v>0</v>
      </c>
      <c r="X40" s="29">
        <f t="shared" si="24"/>
        <v>0</v>
      </c>
      <c r="Y40" s="29">
        <f t="shared" si="25"/>
        <v>0</v>
      </c>
    </row>
    <row r="41" spans="1:42" ht="20.100000000000001" customHeight="1" x14ac:dyDescent="0.25">
      <c r="A41" s="159">
        <v>18</v>
      </c>
      <c r="B41" s="159"/>
      <c r="C41" s="156">
        <f t="shared" si="13"/>
        <v>0.14599999999999999</v>
      </c>
      <c r="D41" s="156"/>
      <c r="E41" s="156"/>
      <c r="F41" s="156"/>
      <c r="G41" s="156">
        <f t="shared" si="14"/>
        <v>8.7400000000000005E-2</v>
      </c>
      <c r="H41" s="156"/>
      <c r="I41" s="156"/>
      <c r="J41" s="156"/>
      <c r="K41" s="156">
        <f t="shared" si="15"/>
        <v>5.8400000000000001E-2</v>
      </c>
      <c r="L41" s="156"/>
      <c r="M41" s="156"/>
      <c r="N41" s="156"/>
      <c r="O41" s="156">
        <f t="shared" si="16"/>
        <v>2.92E-2</v>
      </c>
      <c r="P41" s="156"/>
      <c r="Q41" s="156"/>
      <c r="R41" s="156"/>
      <c r="U41" s="28">
        <f t="shared" si="21"/>
        <v>35</v>
      </c>
      <c r="V41" s="29">
        <f t="shared" si="22"/>
        <v>0</v>
      </c>
      <c r="W41" s="29">
        <f t="shared" si="23"/>
        <v>0</v>
      </c>
      <c r="X41" s="29">
        <f t="shared" si="24"/>
        <v>0</v>
      </c>
      <c r="Y41" s="29">
        <f t="shared" si="25"/>
        <v>0</v>
      </c>
    </row>
    <row r="42" spans="1:42" ht="20.100000000000001" customHeight="1" x14ac:dyDescent="0.25">
      <c r="A42" s="159">
        <v>19</v>
      </c>
      <c r="B42" s="159"/>
      <c r="C42" s="156">
        <f t="shared" si="13"/>
        <v>0.13800000000000001</v>
      </c>
      <c r="D42" s="156"/>
      <c r="E42" s="156"/>
      <c r="F42" s="156"/>
      <c r="G42" s="156">
        <f t="shared" si="14"/>
        <v>8.2699999999999996E-2</v>
      </c>
      <c r="H42" s="156"/>
      <c r="I42" s="156"/>
      <c r="J42" s="156"/>
      <c r="K42" s="156">
        <f t="shared" si="15"/>
        <v>5.5200000000000006E-2</v>
      </c>
      <c r="L42" s="156"/>
      <c r="M42" s="156"/>
      <c r="N42" s="156"/>
      <c r="O42" s="156">
        <f t="shared" si="16"/>
        <v>2.7600000000000003E-2</v>
      </c>
      <c r="P42" s="156"/>
      <c r="Q42" s="156"/>
      <c r="R42" s="156"/>
      <c r="U42" s="28">
        <f t="shared" si="21"/>
        <v>36</v>
      </c>
      <c r="V42" s="29">
        <f t="shared" si="22"/>
        <v>0</v>
      </c>
      <c r="W42" s="29">
        <f t="shared" si="23"/>
        <v>0</v>
      </c>
      <c r="X42" s="29">
        <f t="shared" si="24"/>
        <v>0</v>
      </c>
      <c r="Y42" s="29">
        <f t="shared" si="25"/>
        <v>0</v>
      </c>
    </row>
    <row r="43" spans="1:42" ht="20.100000000000001" customHeight="1" x14ac:dyDescent="0.25">
      <c r="A43" s="159">
        <v>20</v>
      </c>
      <c r="B43" s="159"/>
      <c r="C43" s="156">
        <f t="shared" si="13"/>
        <v>0.13</v>
      </c>
      <c r="D43" s="156"/>
      <c r="E43" s="156"/>
      <c r="F43" s="156"/>
      <c r="G43" s="156">
        <f t="shared" si="14"/>
        <v>7.8E-2</v>
      </c>
      <c r="H43" s="156"/>
      <c r="I43" s="156"/>
      <c r="J43" s="156"/>
      <c r="K43" s="156">
        <f t="shared" si="15"/>
        <v>5.2000000000000005E-2</v>
      </c>
      <c r="L43" s="156"/>
      <c r="M43" s="156"/>
      <c r="N43" s="156"/>
      <c r="O43" s="156">
        <f t="shared" si="16"/>
        <v>2.6000000000000002E-2</v>
      </c>
      <c r="P43" s="156"/>
      <c r="Q43" s="156"/>
      <c r="R43" s="156"/>
      <c r="U43" s="28">
        <f t="shared" si="21"/>
        <v>37</v>
      </c>
      <c r="V43" s="29">
        <f t="shared" si="22"/>
        <v>0</v>
      </c>
      <c r="W43" s="29">
        <f t="shared" si="23"/>
        <v>0</v>
      </c>
      <c r="X43" s="29">
        <f t="shared" si="24"/>
        <v>0</v>
      </c>
      <c r="Y43" s="29">
        <f t="shared" si="25"/>
        <v>0</v>
      </c>
    </row>
    <row r="44" spans="1:42" ht="20.100000000000001" customHeight="1" x14ac:dyDescent="0.25">
      <c r="A44" s="159">
        <v>21</v>
      </c>
      <c r="B44" s="159"/>
      <c r="C44" s="156">
        <f t="shared" si="13"/>
        <v>0.11699999999999999</v>
      </c>
      <c r="D44" s="156"/>
      <c r="E44" s="156"/>
      <c r="F44" s="156"/>
      <c r="G44" s="156">
        <f t="shared" si="14"/>
        <v>7.0199999999999999E-2</v>
      </c>
      <c r="H44" s="156"/>
      <c r="I44" s="156"/>
      <c r="J44" s="156"/>
      <c r="K44" s="156">
        <f t="shared" si="15"/>
        <v>4.6799999999999994E-2</v>
      </c>
      <c r="L44" s="156"/>
      <c r="M44" s="156"/>
      <c r="N44" s="156"/>
      <c r="O44" s="156">
        <f t="shared" si="16"/>
        <v>2.3399999999999997E-2</v>
      </c>
      <c r="P44" s="156"/>
      <c r="Q44" s="156"/>
      <c r="R44" s="156"/>
      <c r="U44" s="28">
        <f t="shared" si="21"/>
        <v>38</v>
      </c>
      <c r="V44" s="29">
        <f t="shared" si="22"/>
        <v>0</v>
      </c>
      <c r="W44" s="29">
        <f t="shared" si="23"/>
        <v>0</v>
      </c>
      <c r="X44" s="29">
        <f t="shared" si="24"/>
        <v>0</v>
      </c>
      <c r="Y44" s="29">
        <f t="shared" si="25"/>
        <v>0</v>
      </c>
    </row>
    <row r="45" spans="1:42" ht="20.100000000000001" customHeight="1" x14ac:dyDescent="0.25">
      <c r="A45" s="159">
        <v>22</v>
      </c>
      <c r="B45" s="159"/>
      <c r="C45" s="156">
        <f t="shared" si="13"/>
        <v>0.10400000000000001</v>
      </c>
      <c r="D45" s="156"/>
      <c r="E45" s="156"/>
      <c r="F45" s="156"/>
      <c r="G45" s="156">
        <f t="shared" si="14"/>
        <v>6.2400000000000004E-2</v>
      </c>
      <c r="H45" s="156"/>
      <c r="I45" s="156"/>
      <c r="J45" s="156"/>
      <c r="K45" s="156">
        <f t="shared" si="15"/>
        <v>4.1599999999999998E-2</v>
      </c>
      <c r="L45" s="156"/>
      <c r="M45" s="156"/>
      <c r="N45" s="156"/>
      <c r="O45" s="156">
        <f t="shared" si="16"/>
        <v>2.0799999999999999E-2</v>
      </c>
      <c r="P45" s="156"/>
      <c r="Q45" s="156"/>
      <c r="R45" s="156"/>
      <c r="U45" s="28">
        <f t="shared" si="21"/>
        <v>39</v>
      </c>
      <c r="V45" s="29">
        <f t="shared" si="22"/>
        <v>0</v>
      </c>
      <c r="W45" s="29">
        <f t="shared" si="23"/>
        <v>0</v>
      </c>
      <c r="X45" s="29">
        <f t="shared" si="24"/>
        <v>0</v>
      </c>
      <c r="Y45" s="29">
        <f t="shared" si="25"/>
        <v>0</v>
      </c>
    </row>
    <row r="46" spans="1:42" ht="20.100000000000001" customHeight="1" x14ac:dyDescent="0.25">
      <c r="A46" s="159">
        <v>23</v>
      </c>
      <c r="B46" s="159"/>
      <c r="C46" s="156">
        <f t="shared" si="13"/>
        <v>9.0999999999999998E-2</v>
      </c>
      <c r="D46" s="156"/>
      <c r="E46" s="156"/>
      <c r="F46" s="156"/>
      <c r="G46" s="156">
        <f t="shared" si="14"/>
        <v>5.4600000000000003E-2</v>
      </c>
      <c r="H46" s="156"/>
      <c r="I46" s="156"/>
      <c r="J46" s="156"/>
      <c r="K46" s="156">
        <f t="shared" si="15"/>
        <v>3.6400000000000002E-2</v>
      </c>
      <c r="L46" s="156"/>
      <c r="M46" s="156"/>
      <c r="N46" s="156"/>
      <c r="O46" s="156">
        <f t="shared" si="16"/>
        <v>1.8200000000000001E-2</v>
      </c>
      <c r="P46" s="156"/>
      <c r="Q46" s="156"/>
      <c r="R46" s="156"/>
      <c r="U46" s="28">
        <f t="shared" si="21"/>
        <v>40</v>
      </c>
      <c r="V46" s="29">
        <f t="shared" si="22"/>
        <v>0</v>
      </c>
      <c r="W46" s="29">
        <f t="shared" si="23"/>
        <v>0</v>
      </c>
      <c r="X46" s="29">
        <f t="shared" si="24"/>
        <v>0</v>
      </c>
      <c r="Y46" s="29">
        <f t="shared" si="25"/>
        <v>0</v>
      </c>
    </row>
    <row r="47" spans="1:42" ht="20.100000000000001" customHeight="1" x14ac:dyDescent="0.25">
      <c r="A47" s="159">
        <v>24</v>
      </c>
      <c r="B47" s="159"/>
      <c r="C47" s="156">
        <f t="shared" si="13"/>
        <v>7.8E-2</v>
      </c>
      <c r="D47" s="156"/>
      <c r="E47" s="156"/>
      <c r="F47" s="156"/>
      <c r="G47" s="156">
        <f t="shared" si="14"/>
        <v>4.6799999999999994E-2</v>
      </c>
      <c r="H47" s="156"/>
      <c r="I47" s="156"/>
      <c r="J47" s="156"/>
      <c r="K47" s="156">
        <f t="shared" si="15"/>
        <v>3.1200000000000002E-2</v>
      </c>
      <c r="L47" s="156"/>
      <c r="M47" s="156"/>
      <c r="N47" s="156"/>
      <c r="O47" s="156">
        <f t="shared" si="16"/>
        <v>1.5600000000000001E-2</v>
      </c>
      <c r="P47" s="156"/>
      <c r="Q47" s="156"/>
      <c r="R47" s="156"/>
      <c r="U47" s="28">
        <f t="shared" si="21"/>
        <v>41</v>
      </c>
      <c r="V47" s="29">
        <f t="shared" si="22"/>
        <v>0</v>
      </c>
      <c r="W47" s="29">
        <f t="shared" si="23"/>
        <v>0</v>
      </c>
      <c r="X47" s="29">
        <f t="shared" si="24"/>
        <v>0</v>
      </c>
      <c r="Y47" s="29">
        <f t="shared" si="25"/>
        <v>0</v>
      </c>
    </row>
    <row r="48" spans="1:42" ht="20.100000000000001" customHeight="1" x14ac:dyDescent="0.25">
      <c r="A48" s="159">
        <v>25</v>
      </c>
      <c r="B48" s="159"/>
      <c r="C48" s="156">
        <f t="shared" si="13"/>
        <v>6.5000000000000002E-2</v>
      </c>
      <c r="D48" s="156"/>
      <c r="E48" s="156"/>
      <c r="F48" s="156"/>
      <c r="G48" s="156">
        <f t="shared" si="14"/>
        <v>3.9E-2</v>
      </c>
      <c r="H48" s="156"/>
      <c r="I48" s="156"/>
      <c r="J48" s="156"/>
      <c r="K48" s="156">
        <f t="shared" si="15"/>
        <v>2.6000000000000002E-2</v>
      </c>
      <c r="L48" s="156"/>
      <c r="M48" s="156"/>
      <c r="N48" s="156"/>
      <c r="O48" s="156">
        <f t="shared" si="16"/>
        <v>1.3000000000000001E-2</v>
      </c>
      <c r="P48" s="156"/>
      <c r="Q48" s="156"/>
      <c r="R48" s="156"/>
      <c r="U48" s="28">
        <f t="shared" si="21"/>
        <v>42</v>
      </c>
      <c r="V48" s="29">
        <f t="shared" si="22"/>
        <v>0</v>
      </c>
      <c r="W48" s="29">
        <f t="shared" si="23"/>
        <v>0</v>
      </c>
      <c r="X48" s="29">
        <f t="shared" si="24"/>
        <v>0</v>
      </c>
      <c r="Y48" s="29">
        <f t="shared" si="25"/>
        <v>0</v>
      </c>
    </row>
    <row r="49" spans="1:25" ht="20.100000000000001" customHeight="1" x14ac:dyDescent="0.25">
      <c r="A49" s="159">
        <v>26</v>
      </c>
      <c r="B49" s="159"/>
      <c r="C49" s="156">
        <f t="shared" si="13"/>
        <v>5.1999999999999991E-2</v>
      </c>
      <c r="D49" s="156"/>
      <c r="E49" s="156"/>
      <c r="F49" s="156"/>
      <c r="G49" s="156">
        <f t="shared" si="14"/>
        <v>3.1200000000000002E-2</v>
      </c>
      <c r="H49" s="156"/>
      <c r="I49" s="156"/>
      <c r="J49" s="156"/>
      <c r="K49" s="156">
        <f t="shared" si="15"/>
        <v>2.0799999999999999E-2</v>
      </c>
      <c r="L49" s="156"/>
      <c r="M49" s="156"/>
      <c r="N49" s="156"/>
      <c r="O49" s="156">
        <f t="shared" si="16"/>
        <v>1.04E-2</v>
      </c>
      <c r="P49" s="156"/>
      <c r="Q49" s="156"/>
      <c r="R49" s="156"/>
      <c r="U49" s="28">
        <f t="shared" si="21"/>
        <v>43</v>
      </c>
      <c r="V49" s="29">
        <f t="shared" si="22"/>
        <v>0</v>
      </c>
      <c r="W49" s="29">
        <f t="shared" si="23"/>
        <v>0</v>
      </c>
      <c r="X49" s="29">
        <f t="shared" si="24"/>
        <v>0</v>
      </c>
      <c r="Y49" s="29">
        <f t="shared" si="25"/>
        <v>0</v>
      </c>
    </row>
    <row r="50" spans="1:25" ht="20.100000000000001" customHeight="1" x14ac:dyDescent="0.25">
      <c r="A50" s="159">
        <v>27</v>
      </c>
      <c r="B50" s="159"/>
      <c r="C50" s="156">
        <f t="shared" si="13"/>
        <v>3.9000000000000007E-2</v>
      </c>
      <c r="D50" s="156"/>
      <c r="E50" s="156"/>
      <c r="F50" s="156"/>
      <c r="G50" s="156">
        <f t="shared" si="14"/>
        <v>2.3399999999999997E-2</v>
      </c>
      <c r="H50" s="156"/>
      <c r="I50" s="156"/>
      <c r="J50" s="156"/>
      <c r="K50" s="156">
        <f t="shared" si="15"/>
        <v>1.5600000000000004E-2</v>
      </c>
      <c r="L50" s="156"/>
      <c r="M50" s="156"/>
      <c r="N50" s="156"/>
      <c r="O50" s="156">
        <f t="shared" si="16"/>
        <v>7.8000000000000022E-3</v>
      </c>
      <c r="P50" s="156"/>
      <c r="Q50" s="156"/>
      <c r="R50" s="156"/>
      <c r="U50" s="28">
        <f t="shared" si="21"/>
        <v>44</v>
      </c>
      <c r="V50" s="29">
        <f t="shared" si="22"/>
        <v>0</v>
      </c>
      <c r="W50" s="29">
        <f t="shared" si="23"/>
        <v>0</v>
      </c>
      <c r="X50" s="29">
        <f t="shared" si="24"/>
        <v>0</v>
      </c>
      <c r="Y50" s="29">
        <f t="shared" si="25"/>
        <v>0</v>
      </c>
    </row>
    <row r="51" spans="1:25" ht="20.100000000000001" customHeight="1" x14ac:dyDescent="0.25">
      <c r="A51" s="159">
        <v>28</v>
      </c>
      <c r="B51" s="159"/>
      <c r="C51" s="156">
        <f t="shared" si="13"/>
        <v>2.5999999999999995E-2</v>
      </c>
      <c r="D51" s="156"/>
      <c r="E51" s="156"/>
      <c r="F51" s="156"/>
      <c r="G51" s="156">
        <f t="shared" si="14"/>
        <v>1.5599999999999996E-2</v>
      </c>
      <c r="H51" s="156"/>
      <c r="I51" s="156"/>
      <c r="J51" s="156"/>
      <c r="K51" s="156">
        <f t="shared" si="15"/>
        <v>1.04E-2</v>
      </c>
      <c r="L51" s="156"/>
      <c r="M51" s="156"/>
      <c r="N51" s="156"/>
      <c r="O51" s="156">
        <f t="shared" si="16"/>
        <v>5.1999999999999998E-3</v>
      </c>
      <c r="P51" s="156"/>
      <c r="Q51" s="156"/>
      <c r="R51" s="156"/>
      <c r="U51" s="28">
        <f t="shared" si="21"/>
        <v>45</v>
      </c>
      <c r="V51" s="29">
        <f t="shared" si="22"/>
        <v>0</v>
      </c>
      <c r="W51" s="29">
        <f t="shared" si="23"/>
        <v>0</v>
      </c>
      <c r="X51" s="29">
        <f t="shared" si="24"/>
        <v>0</v>
      </c>
      <c r="Y51" s="29">
        <f t="shared" si="25"/>
        <v>0</v>
      </c>
    </row>
    <row r="52" spans="1:25" ht="20.100000000000001" customHeight="1" x14ac:dyDescent="0.25">
      <c r="A52" s="159">
        <v>29</v>
      </c>
      <c r="B52" s="159"/>
      <c r="C52" s="156">
        <f t="shared" si="13"/>
        <v>1.2999999999999989E-2</v>
      </c>
      <c r="D52" s="156"/>
      <c r="E52" s="156"/>
      <c r="F52" s="156"/>
      <c r="G52" s="156">
        <f t="shared" si="14"/>
        <v>7.7999999999999936E-3</v>
      </c>
      <c r="H52" s="156"/>
      <c r="I52" s="156"/>
      <c r="J52" s="156"/>
      <c r="K52" s="156">
        <f t="shared" si="15"/>
        <v>5.1999999999999954E-3</v>
      </c>
      <c r="L52" s="156"/>
      <c r="M52" s="156"/>
      <c r="N52" s="156"/>
      <c r="O52" s="156">
        <f t="shared" si="16"/>
        <v>2.5999999999999977E-3</v>
      </c>
      <c r="P52" s="156"/>
      <c r="Q52" s="156"/>
      <c r="R52" s="156"/>
      <c r="U52" s="28">
        <f t="shared" si="21"/>
        <v>46</v>
      </c>
      <c r="V52" s="29">
        <f t="shared" si="22"/>
        <v>0</v>
      </c>
      <c r="W52" s="29">
        <f t="shared" si="23"/>
        <v>0</v>
      </c>
      <c r="X52" s="29">
        <f t="shared" si="24"/>
        <v>0</v>
      </c>
      <c r="Y52" s="29">
        <f t="shared" si="25"/>
        <v>0</v>
      </c>
    </row>
    <row r="53" spans="1:25" ht="20.100000000000001" customHeight="1" x14ac:dyDescent="0.25">
      <c r="A53" s="159">
        <v>30</v>
      </c>
      <c r="B53" s="159"/>
      <c r="C53" s="156">
        <f t="shared" si="13"/>
        <v>0</v>
      </c>
      <c r="D53" s="156"/>
      <c r="E53" s="156"/>
      <c r="F53" s="156"/>
      <c r="G53" s="156">
        <f t="shared" si="14"/>
        <v>0</v>
      </c>
      <c r="H53" s="156"/>
      <c r="I53" s="156"/>
      <c r="J53" s="156"/>
      <c r="K53" s="156">
        <f t="shared" si="15"/>
        <v>0</v>
      </c>
      <c r="L53" s="156"/>
      <c r="M53" s="156"/>
      <c r="N53" s="156"/>
      <c r="O53" s="156">
        <f t="shared" si="16"/>
        <v>0</v>
      </c>
      <c r="P53" s="156"/>
      <c r="Q53" s="156"/>
      <c r="R53" s="156"/>
      <c r="U53" s="28">
        <f t="shared" si="21"/>
        <v>47</v>
      </c>
      <c r="V53" s="29">
        <f t="shared" si="22"/>
        <v>0</v>
      </c>
      <c r="W53" s="29">
        <f t="shared" si="23"/>
        <v>0</v>
      </c>
      <c r="X53" s="29">
        <f t="shared" si="24"/>
        <v>0</v>
      </c>
      <c r="Y53" s="29">
        <f t="shared" si="25"/>
        <v>0</v>
      </c>
    </row>
    <row r="54" spans="1:25" ht="20.100000000000001" customHeight="1" x14ac:dyDescent="0.25">
      <c r="U54" s="28">
        <f t="shared" si="21"/>
        <v>48</v>
      </c>
      <c r="V54" s="29">
        <f t="shared" si="22"/>
        <v>0</v>
      </c>
      <c r="W54" s="29">
        <f t="shared" si="23"/>
        <v>0</v>
      </c>
      <c r="X54" s="29">
        <f t="shared" si="24"/>
        <v>0</v>
      </c>
      <c r="Y54" s="29">
        <f t="shared" si="25"/>
        <v>0</v>
      </c>
    </row>
    <row r="55" spans="1:25" ht="20.100000000000001" customHeight="1" x14ac:dyDescent="0.25">
      <c r="A55" s="162" t="s">
        <v>91</v>
      </c>
      <c r="B55" s="162"/>
      <c r="C55" s="163" t="s">
        <v>92</v>
      </c>
      <c r="D55" s="163"/>
      <c r="E55" s="163"/>
      <c r="F55" s="163"/>
      <c r="G55" s="163"/>
      <c r="H55" s="163"/>
      <c r="I55" s="163"/>
      <c r="J55" s="163"/>
      <c r="K55" s="163"/>
      <c r="L55" s="163"/>
      <c r="M55" s="163"/>
      <c r="N55" s="163"/>
      <c r="O55" s="163"/>
      <c r="P55" s="163"/>
      <c r="Q55" s="163"/>
      <c r="R55" s="163"/>
      <c r="U55" s="28">
        <f t="shared" si="21"/>
        <v>49</v>
      </c>
      <c r="V55" s="29">
        <f t="shared" si="22"/>
        <v>0</v>
      </c>
      <c r="W55" s="29">
        <f t="shared" si="23"/>
        <v>0</v>
      </c>
      <c r="X55" s="29">
        <f t="shared" si="24"/>
        <v>0</v>
      </c>
      <c r="Y55" s="29">
        <f t="shared" si="25"/>
        <v>0</v>
      </c>
    </row>
    <row r="56" spans="1:25" ht="20.100000000000001" customHeight="1" x14ac:dyDescent="0.25">
      <c r="C56" s="12"/>
      <c r="D56" s="12"/>
      <c r="E56" s="12"/>
      <c r="F56" s="12"/>
      <c r="G56" s="12"/>
      <c r="H56" s="12"/>
      <c r="I56" s="12"/>
      <c r="J56" s="12"/>
      <c r="K56" s="12"/>
      <c r="L56" s="12"/>
      <c r="M56" s="12"/>
      <c r="N56" s="12"/>
      <c r="O56" s="12"/>
      <c r="P56" s="12"/>
      <c r="Q56" s="12"/>
      <c r="R56" s="12"/>
      <c r="U56" s="28">
        <f t="shared" si="21"/>
        <v>50</v>
      </c>
      <c r="V56" s="29">
        <f t="shared" si="22"/>
        <v>0</v>
      </c>
      <c r="W56" s="29">
        <f t="shared" si="23"/>
        <v>0</v>
      </c>
      <c r="X56" s="29">
        <f t="shared" si="24"/>
        <v>0</v>
      </c>
      <c r="Y56" s="29">
        <f t="shared" si="25"/>
        <v>0</v>
      </c>
    </row>
    <row r="57" spans="1:25" ht="20.100000000000001" customHeight="1" x14ac:dyDescent="0.25">
      <c r="U57" s="28">
        <f t="shared" si="21"/>
        <v>51</v>
      </c>
      <c r="V57" s="29">
        <f t="shared" si="22"/>
        <v>0</v>
      </c>
      <c r="W57" s="29">
        <f t="shared" si="23"/>
        <v>0</v>
      </c>
      <c r="X57" s="29">
        <f t="shared" si="24"/>
        <v>0</v>
      </c>
      <c r="Y57" s="29">
        <f t="shared" si="25"/>
        <v>0</v>
      </c>
    </row>
    <row r="58" spans="1:25" ht="20.100000000000001" customHeight="1" x14ac:dyDescent="0.25">
      <c r="A58" s="161" t="s">
        <v>106</v>
      </c>
      <c r="B58" s="161"/>
      <c r="C58" s="161"/>
      <c r="D58" s="161"/>
      <c r="E58" s="161"/>
      <c r="F58" s="161"/>
      <c r="G58" s="161"/>
      <c r="H58" s="161"/>
      <c r="I58" s="161"/>
      <c r="J58" s="161"/>
      <c r="K58" s="161"/>
      <c r="L58" s="161"/>
      <c r="M58" s="161"/>
      <c r="N58" s="161"/>
      <c r="O58" s="161"/>
      <c r="P58" s="161"/>
      <c r="Q58" s="161"/>
      <c r="R58" s="161"/>
      <c r="U58" s="28">
        <f t="shared" si="21"/>
        <v>52</v>
      </c>
      <c r="V58" s="29">
        <f t="shared" si="22"/>
        <v>0</v>
      </c>
      <c r="W58" s="29">
        <f t="shared" si="23"/>
        <v>0</v>
      </c>
      <c r="X58" s="29">
        <f t="shared" si="24"/>
        <v>0</v>
      </c>
      <c r="Y58" s="29">
        <f t="shared" si="25"/>
        <v>0</v>
      </c>
    </row>
    <row r="59" spans="1:25" ht="20.100000000000001" customHeight="1" x14ac:dyDescent="0.25">
      <c r="A59" s="161"/>
      <c r="B59" s="161"/>
      <c r="C59" s="161"/>
      <c r="D59" s="161"/>
      <c r="E59" s="161"/>
      <c r="F59" s="161"/>
      <c r="G59" s="161"/>
      <c r="H59" s="161"/>
      <c r="I59" s="161"/>
      <c r="J59" s="161"/>
      <c r="K59" s="161"/>
      <c r="L59" s="161"/>
      <c r="M59" s="161"/>
      <c r="N59" s="161"/>
      <c r="O59" s="161"/>
      <c r="P59" s="161"/>
      <c r="Q59" s="161"/>
      <c r="R59" s="161"/>
      <c r="U59" s="28">
        <f t="shared" si="21"/>
        <v>53</v>
      </c>
      <c r="V59" s="29">
        <f t="shared" si="22"/>
        <v>0</v>
      </c>
      <c r="W59" s="29">
        <f t="shared" si="23"/>
        <v>0</v>
      </c>
      <c r="X59" s="29">
        <f t="shared" si="24"/>
        <v>0</v>
      </c>
      <c r="Y59" s="29">
        <f t="shared" si="25"/>
        <v>0</v>
      </c>
    </row>
    <row r="60" spans="1:25" ht="20.100000000000001" customHeight="1" x14ac:dyDescent="0.25">
      <c r="A60" s="161"/>
      <c r="B60" s="161"/>
      <c r="C60" s="161"/>
      <c r="D60" s="161"/>
      <c r="E60" s="161"/>
      <c r="F60" s="161"/>
      <c r="G60" s="161"/>
      <c r="H60" s="161"/>
      <c r="I60" s="161"/>
      <c r="J60" s="161"/>
      <c r="K60" s="161"/>
      <c r="L60" s="161"/>
      <c r="M60" s="161"/>
      <c r="N60" s="161"/>
      <c r="O60" s="161"/>
      <c r="P60" s="161"/>
      <c r="Q60" s="161"/>
      <c r="R60" s="161"/>
      <c r="U60" s="28">
        <f t="shared" si="21"/>
        <v>54</v>
      </c>
      <c r="V60" s="29">
        <f t="shared" si="22"/>
        <v>0</v>
      </c>
      <c r="W60" s="29">
        <f t="shared" si="23"/>
        <v>0</v>
      </c>
      <c r="X60" s="29">
        <f t="shared" si="24"/>
        <v>0</v>
      </c>
      <c r="Y60" s="29">
        <f t="shared" si="25"/>
        <v>0</v>
      </c>
    </row>
    <row r="61" spans="1:25" ht="20.100000000000001" customHeight="1" x14ac:dyDescent="0.2">
      <c r="A61" s="11"/>
      <c r="B61" s="11"/>
      <c r="C61" s="11"/>
      <c r="D61" s="11"/>
      <c r="E61" s="11"/>
      <c r="F61" s="11"/>
      <c r="G61" s="11"/>
      <c r="H61" s="11"/>
      <c r="I61" s="11"/>
      <c r="J61" s="11"/>
      <c r="K61" s="11"/>
      <c r="L61" s="11"/>
      <c r="M61" s="11"/>
      <c r="N61" s="11"/>
      <c r="O61" s="11"/>
      <c r="P61" s="11"/>
      <c r="Q61" s="11"/>
      <c r="R61" s="11"/>
      <c r="U61" s="28">
        <f t="shared" si="21"/>
        <v>55</v>
      </c>
      <c r="V61" s="29">
        <f t="shared" si="22"/>
        <v>0</v>
      </c>
      <c r="W61" s="29">
        <f t="shared" si="23"/>
        <v>0</v>
      </c>
      <c r="X61" s="29">
        <f t="shared" si="24"/>
        <v>0</v>
      </c>
      <c r="Y61" s="29">
        <f t="shared" si="25"/>
        <v>0</v>
      </c>
    </row>
    <row r="62" spans="1:25" ht="20.100000000000001" customHeight="1" x14ac:dyDescent="0.25">
      <c r="U62" s="28">
        <f t="shared" si="21"/>
        <v>56</v>
      </c>
      <c r="V62" s="29">
        <f t="shared" si="22"/>
        <v>0</v>
      </c>
      <c r="W62" s="29">
        <f t="shared" si="23"/>
        <v>0</v>
      </c>
      <c r="X62" s="29">
        <f t="shared" si="24"/>
        <v>0</v>
      </c>
      <c r="Y62" s="29">
        <f t="shared" si="25"/>
        <v>0</v>
      </c>
    </row>
    <row r="63" spans="1:25" ht="20.100000000000001" customHeight="1" x14ac:dyDescent="0.25">
      <c r="A63" s="140" t="s">
        <v>197</v>
      </c>
      <c r="B63" s="140"/>
      <c r="C63" s="140"/>
      <c r="D63" s="140"/>
      <c r="E63" s="140"/>
      <c r="F63" s="140"/>
      <c r="G63" s="140"/>
      <c r="H63" s="140"/>
      <c r="I63" s="140"/>
      <c r="J63" s="140"/>
      <c r="K63" s="140"/>
      <c r="L63" s="140"/>
      <c r="M63" s="140"/>
      <c r="N63" s="140"/>
      <c r="O63" s="140"/>
      <c r="P63" s="140"/>
      <c r="Q63" s="140"/>
      <c r="R63" s="140"/>
      <c r="U63" s="28">
        <f t="shared" si="21"/>
        <v>57</v>
      </c>
      <c r="V63" s="29">
        <f t="shared" si="22"/>
        <v>0</v>
      </c>
      <c r="W63" s="29">
        <f t="shared" si="23"/>
        <v>0</v>
      </c>
      <c r="X63" s="29">
        <f t="shared" si="24"/>
        <v>0</v>
      </c>
      <c r="Y63" s="29">
        <f t="shared" si="25"/>
        <v>0</v>
      </c>
    </row>
    <row r="64" spans="1:25" ht="20.100000000000001" customHeight="1" x14ac:dyDescent="0.25">
      <c r="A64" s="140" t="s">
        <v>198</v>
      </c>
      <c r="B64" s="140"/>
      <c r="C64" s="140"/>
      <c r="D64" s="140"/>
      <c r="E64" s="140"/>
      <c r="F64" s="140"/>
      <c r="G64" s="140"/>
      <c r="H64" s="140"/>
      <c r="I64" s="140"/>
      <c r="J64" s="140"/>
      <c r="K64" s="140"/>
      <c r="L64" s="140"/>
      <c r="M64" s="140"/>
      <c r="N64" s="140"/>
      <c r="O64" s="140"/>
      <c r="P64" s="140"/>
      <c r="Q64" s="140"/>
      <c r="R64" s="140"/>
      <c r="U64" s="28">
        <f t="shared" si="21"/>
        <v>58</v>
      </c>
      <c r="V64" s="29">
        <f t="shared" si="22"/>
        <v>0</v>
      </c>
      <c r="W64" s="29">
        <f t="shared" si="23"/>
        <v>0</v>
      </c>
      <c r="X64" s="29">
        <f t="shared" si="24"/>
        <v>0</v>
      </c>
      <c r="Y64" s="29">
        <f t="shared" si="25"/>
        <v>0</v>
      </c>
    </row>
    <row r="65" spans="1:25" ht="20.100000000000001" customHeight="1" x14ac:dyDescent="0.25">
      <c r="A65" s="140" t="s">
        <v>199</v>
      </c>
      <c r="B65" s="140"/>
      <c r="C65" s="140"/>
      <c r="D65" s="140"/>
      <c r="E65" s="140"/>
      <c r="F65" s="140"/>
      <c r="G65" s="140"/>
      <c r="H65" s="140"/>
      <c r="I65" s="140"/>
      <c r="J65" s="140"/>
      <c r="K65" s="140"/>
      <c r="L65" s="140"/>
      <c r="M65" s="140"/>
      <c r="N65" s="140"/>
      <c r="O65" s="140"/>
      <c r="P65" s="140"/>
      <c r="Q65" s="140"/>
      <c r="R65" s="140"/>
      <c r="U65" s="28">
        <f t="shared" si="21"/>
        <v>59</v>
      </c>
      <c r="V65" s="29">
        <f t="shared" si="22"/>
        <v>0</v>
      </c>
      <c r="W65" s="29">
        <f t="shared" si="23"/>
        <v>0</v>
      </c>
      <c r="X65" s="29">
        <f t="shared" si="24"/>
        <v>0</v>
      </c>
      <c r="Y65" s="29">
        <f t="shared" si="25"/>
        <v>0</v>
      </c>
    </row>
    <row r="66" spans="1:25" ht="20.100000000000001" customHeight="1" x14ac:dyDescent="0.25">
      <c r="A66" s="140" t="s">
        <v>217</v>
      </c>
      <c r="B66" s="140"/>
      <c r="C66" s="140"/>
      <c r="D66" s="140"/>
      <c r="E66" s="140"/>
      <c r="F66" s="140"/>
      <c r="G66" s="140"/>
      <c r="H66" s="140"/>
      <c r="I66" s="140"/>
      <c r="J66" s="140"/>
      <c r="K66" s="140"/>
      <c r="L66" s="140"/>
      <c r="M66" s="140"/>
      <c r="N66" s="140"/>
      <c r="O66" s="140"/>
      <c r="P66" s="140"/>
      <c r="Q66" s="140"/>
      <c r="R66" s="140"/>
      <c r="U66" s="28">
        <f t="shared" si="21"/>
        <v>60</v>
      </c>
      <c r="V66" s="29">
        <f t="shared" si="22"/>
        <v>0</v>
      </c>
      <c r="W66" s="29">
        <f t="shared" si="23"/>
        <v>0</v>
      </c>
      <c r="X66" s="29">
        <f t="shared" si="24"/>
        <v>0</v>
      </c>
      <c r="Y66" s="29">
        <f t="shared" si="25"/>
        <v>0</v>
      </c>
    </row>
    <row r="67" spans="1:25" ht="20.100000000000001" customHeight="1" x14ac:dyDescent="0.25">
      <c r="A67" s="140"/>
      <c r="B67" s="140"/>
      <c r="C67" s="140"/>
      <c r="D67" s="140"/>
      <c r="E67" s="140"/>
      <c r="F67" s="140"/>
      <c r="G67" s="140"/>
      <c r="H67" s="140"/>
      <c r="I67" s="140"/>
      <c r="J67" s="140"/>
      <c r="K67" s="140"/>
      <c r="L67" s="140"/>
      <c r="M67" s="140"/>
      <c r="N67" s="140"/>
      <c r="O67" s="140"/>
      <c r="P67" s="140"/>
      <c r="Q67" s="140"/>
      <c r="R67" s="140"/>
      <c r="U67" s="28">
        <f t="shared" si="21"/>
        <v>61</v>
      </c>
      <c r="V67" s="29">
        <f t="shared" si="22"/>
        <v>0</v>
      </c>
      <c r="W67" s="29">
        <f t="shared" si="23"/>
        <v>0</v>
      </c>
      <c r="X67" s="29">
        <f t="shared" si="24"/>
        <v>0</v>
      </c>
      <c r="Y67" s="29">
        <f t="shared" si="25"/>
        <v>0</v>
      </c>
    </row>
    <row r="68" spans="1:25" ht="20.100000000000001" customHeight="1" x14ac:dyDescent="0.25">
      <c r="A68" s="140" t="s">
        <v>115</v>
      </c>
      <c r="B68" s="140"/>
      <c r="C68" s="140"/>
      <c r="D68" s="140"/>
      <c r="E68" s="140"/>
      <c r="F68" s="140"/>
      <c r="G68" s="140"/>
      <c r="H68" s="140"/>
      <c r="I68" s="140"/>
      <c r="J68" s="140"/>
      <c r="K68" s="140"/>
      <c r="L68" s="140"/>
      <c r="M68" s="140"/>
      <c r="N68" s="140"/>
      <c r="O68" s="140"/>
      <c r="P68" s="140"/>
      <c r="Q68" s="140"/>
      <c r="R68" s="140"/>
      <c r="U68" s="28">
        <f t="shared" si="21"/>
        <v>62</v>
      </c>
      <c r="V68" s="29">
        <f t="shared" si="22"/>
        <v>0</v>
      </c>
      <c r="W68" s="29">
        <f t="shared" si="23"/>
        <v>0</v>
      </c>
      <c r="X68" s="29">
        <f t="shared" si="24"/>
        <v>0</v>
      </c>
      <c r="Y68" s="29">
        <f t="shared" si="25"/>
        <v>0</v>
      </c>
    </row>
    <row r="69" spans="1:25" ht="20.100000000000001" customHeight="1" x14ac:dyDescent="0.25">
      <c r="A69" s="140" t="s">
        <v>116</v>
      </c>
      <c r="B69" s="140"/>
      <c r="C69" s="140"/>
      <c r="D69" s="140"/>
      <c r="E69" s="140"/>
      <c r="F69" s="140"/>
      <c r="G69" s="140"/>
      <c r="H69" s="140"/>
      <c r="I69" s="140"/>
      <c r="J69" s="140"/>
      <c r="K69" s="140"/>
      <c r="L69" s="140"/>
      <c r="M69" s="140"/>
      <c r="N69" s="140"/>
      <c r="O69" s="140"/>
      <c r="P69" s="140"/>
      <c r="Q69" s="140"/>
      <c r="R69" s="140"/>
      <c r="U69" s="28">
        <f t="shared" si="21"/>
        <v>63</v>
      </c>
      <c r="V69" s="29">
        <f t="shared" si="22"/>
        <v>0</v>
      </c>
      <c r="W69" s="29">
        <f t="shared" si="23"/>
        <v>0</v>
      </c>
      <c r="X69" s="29">
        <f t="shared" si="24"/>
        <v>0</v>
      </c>
      <c r="Y69" s="29">
        <f t="shared" si="25"/>
        <v>0</v>
      </c>
    </row>
    <row r="70" spans="1:25" ht="20.100000000000001" customHeight="1" x14ac:dyDescent="0.25">
      <c r="A70" s="140" t="s">
        <v>200</v>
      </c>
      <c r="B70" s="140"/>
      <c r="C70" s="140"/>
      <c r="D70" s="140"/>
      <c r="E70" s="140"/>
      <c r="F70" s="140"/>
      <c r="G70" s="140"/>
      <c r="H70" s="140"/>
      <c r="I70" s="140"/>
      <c r="J70" s="140"/>
      <c r="K70" s="140"/>
      <c r="L70" s="140"/>
      <c r="M70" s="140"/>
      <c r="N70" s="140"/>
      <c r="O70" s="140"/>
      <c r="P70" s="140"/>
      <c r="Q70" s="140"/>
      <c r="R70" s="140"/>
      <c r="U70" s="28">
        <f>U69+1</f>
        <v>64</v>
      </c>
      <c r="V70" s="29">
        <f t="shared" si="22"/>
        <v>0</v>
      </c>
      <c r="W70" s="29">
        <f t="shared" si="23"/>
        <v>0</v>
      </c>
      <c r="X70" s="29">
        <f t="shared" si="24"/>
        <v>0</v>
      </c>
      <c r="Y70" s="29">
        <f t="shared" si="25"/>
        <v>0</v>
      </c>
    </row>
    <row r="71" spans="1:25" ht="20.100000000000001" customHeight="1" x14ac:dyDescent="0.25">
      <c r="A71" s="140" t="s">
        <v>201</v>
      </c>
      <c r="B71" s="140"/>
      <c r="C71" s="140"/>
      <c r="D71" s="140"/>
      <c r="E71" s="140"/>
      <c r="F71" s="140"/>
      <c r="G71" s="140"/>
      <c r="H71" s="140"/>
      <c r="I71" s="140"/>
      <c r="J71" s="140"/>
      <c r="K71" s="140"/>
      <c r="L71" s="140"/>
      <c r="M71" s="140"/>
      <c r="N71" s="140"/>
      <c r="O71" s="140"/>
      <c r="P71" s="140"/>
      <c r="Q71" s="140"/>
      <c r="R71" s="140"/>
      <c r="U71" s="28">
        <f t="shared" si="21"/>
        <v>65</v>
      </c>
      <c r="V71" s="29">
        <f t="shared" si="22"/>
        <v>0</v>
      </c>
      <c r="W71" s="29">
        <f t="shared" si="23"/>
        <v>0</v>
      </c>
      <c r="X71" s="29">
        <f t="shared" si="24"/>
        <v>0</v>
      </c>
      <c r="Y71" s="29">
        <f t="shared" si="25"/>
        <v>0</v>
      </c>
    </row>
    <row r="72" spans="1:25" ht="20.100000000000001" customHeight="1" x14ac:dyDescent="0.25">
      <c r="A72" s="140" t="s">
        <v>202</v>
      </c>
      <c r="B72" s="140"/>
      <c r="C72" s="140"/>
      <c r="D72" s="140"/>
      <c r="E72" s="140"/>
      <c r="F72" s="140"/>
      <c r="G72" s="140"/>
      <c r="H72" s="140"/>
      <c r="I72" s="140"/>
      <c r="J72" s="140"/>
      <c r="K72" s="140"/>
      <c r="L72" s="140"/>
      <c r="M72" s="140"/>
      <c r="N72" s="140"/>
      <c r="O72" s="140"/>
      <c r="P72" s="140"/>
      <c r="Q72" s="140"/>
      <c r="R72" s="140"/>
      <c r="U72" s="28">
        <f t="shared" si="21"/>
        <v>66</v>
      </c>
      <c r="V72" s="29">
        <f t="shared" si="22"/>
        <v>0</v>
      </c>
      <c r="W72" s="29">
        <f t="shared" si="23"/>
        <v>0</v>
      </c>
      <c r="X72" s="29">
        <f t="shared" si="24"/>
        <v>0</v>
      </c>
      <c r="Y72" s="29">
        <f t="shared" si="25"/>
        <v>0</v>
      </c>
    </row>
    <row r="73" spans="1:25" ht="20.100000000000001" customHeight="1" x14ac:dyDescent="0.25">
      <c r="A73" s="140" t="s">
        <v>203</v>
      </c>
      <c r="B73" s="140"/>
      <c r="C73" s="140"/>
      <c r="D73" s="140"/>
      <c r="E73" s="140"/>
      <c r="F73" s="140"/>
      <c r="G73" s="140"/>
      <c r="H73" s="140"/>
      <c r="I73" s="140"/>
      <c r="J73" s="140"/>
      <c r="K73" s="140"/>
      <c r="L73" s="140"/>
      <c r="M73" s="140"/>
      <c r="N73" s="140"/>
      <c r="O73" s="140"/>
      <c r="P73" s="140"/>
      <c r="Q73" s="140"/>
      <c r="R73" s="140"/>
      <c r="U73" s="28">
        <f t="shared" si="21"/>
        <v>67</v>
      </c>
      <c r="V73" s="29">
        <f t="shared" si="22"/>
        <v>0</v>
      </c>
      <c r="W73" s="29">
        <f t="shared" si="23"/>
        <v>0</v>
      </c>
      <c r="X73" s="29">
        <f t="shared" si="24"/>
        <v>0</v>
      </c>
      <c r="Y73" s="29">
        <f t="shared" si="25"/>
        <v>0</v>
      </c>
    </row>
    <row r="74" spans="1:25" ht="20.100000000000001" customHeight="1" x14ac:dyDescent="0.25">
      <c r="A74" s="140" t="s">
        <v>204</v>
      </c>
      <c r="B74" s="140"/>
      <c r="C74" s="140"/>
      <c r="D74" s="140"/>
      <c r="E74" s="140"/>
      <c r="F74" s="140"/>
      <c r="G74" s="140"/>
      <c r="H74" s="140"/>
      <c r="I74" s="140"/>
      <c r="J74" s="140"/>
      <c r="K74" s="140"/>
      <c r="L74" s="140"/>
      <c r="M74" s="140"/>
      <c r="N74" s="140"/>
      <c r="O74" s="140"/>
      <c r="P74" s="140"/>
      <c r="Q74" s="140"/>
      <c r="R74" s="140"/>
      <c r="U74" s="28">
        <f t="shared" si="21"/>
        <v>68</v>
      </c>
      <c r="V74" s="29">
        <f t="shared" si="22"/>
        <v>0</v>
      </c>
      <c r="W74" s="29">
        <f t="shared" si="23"/>
        <v>0</v>
      </c>
      <c r="X74" s="29">
        <f t="shared" si="24"/>
        <v>0</v>
      </c>
      <c r="Y74" s="29">
        <f t="shared" si="25"/>
        <v>0</v>
      </c>
    </row>
    <row r="75" spans="1:25" ht="20.100000000000001" customHeight="1" x14ac:dyDescent="0.25">
      <c r="A75" s="140"/>
      <c r="B75" s="140"/>
      <c r="C75" s="140"/>
      <c r="D75" s="140"/>
      <c r="E75" s="140"/>
      <c r="F75" s="140"/>
      <c r="G75" s="140"/>
      <c r="H75" s="140"/>
      <c r="I75" s="140"/>
      <c r="J75" s="140"/>
      <c r="K75" s="140"/>
      <c r="L75" s="140"/>
      <c r="M75" s="140"/>
      <c r="N75" s="140"/>
      <c r="O75" s="140"/>
      <c r="P75" s="140"/>
      <c r="Q75" s="140"/>
      <c r="R75" s="140"/>
      <c r="U75" s="28">
        <f t="shared" si="21"/>
        <v>69</v>
      </c>
      <c r="V75" s="29">
        <f t="shared" si="22"/>
        <v>0</v>
      </c>
      <c r="W75" s="29">
        <f t="shared" si="23"/>
        <v>0</v>
      </c>
      <c r="X75" s="29">
        <f t="shared" si="24"/>
        <v>0</v>
      </c>
      <c r="Y75" s="29">
        <f t="shared" si="25"/>
        <v>0</v>
      </c>
    </row>
    <row r="76" spans="1:25" ht="20.100000000000001" customHeight="1" x14ac:dyDescent="0.25">
      <c r="A76" s="140" t="s">
        <v>205</v>
      </c>
      <c r="B76" s="140"/>
      <c r="C76" s="140"/>
      <c r="D76" s="140"/>
      <c r="E76" s="140"/>
      <c r="F76" s="140"/>
      <c r="G76" s="140"/>
      <c r="H76" s="140"/>
      <c r="I76" s="140"/>
      <c r="J76" s="140"/>
      <c r="K76" s="140"/>
      <c r="L76" s="140"/>
      <c r="M76" s="140"/>
      <c r="N76" s="140"/>
      <c r="O76" s="140"/>
      <c r="P76" s="140"/>
      <c r="Q76" s="140"/>
      <c r="R76" s="140"/>
      <c r="U76" s="28">
        <f t="shared" si="21"/>
        <v>70</v>
      </c>
      <c r="V76" s="29">
        <f t="shared" si="22"/>
        <v>0</v>
      </c>
      <c r="W76" s="29">
        <f t="shared" si="23"/>
        <v>0</v>
      </c>
      <c r="X76" s="29">
        <f t="shared" si="24"/>
        <v>0</v>
      </c>
      <c r="Y76" s="29">
        <f t="shared" si="25"/>
        <v>0</v>
      </c>
    </row>
    <row r="77" spans="1:25" ht="15" customHeight="1" x14ac:dyDescent="0.25">
      <c r="A77" s="140"/>
      <c r="B77" s="140"/>
      <c r="C77" s="140"/>
      <c r="D77" s="140"/>
      <c r="E77" s="140"/>
      <c r="F77" s="140"/>
      <c r="G77" s="140"/>
      <c r="H77" s="140"/>
      <c r="I77" s="140"/>
      <c r="J77" s="140"/>
      <c r="K77" s="140"/>
      <c r="L77" s="140"/>
      <c r="M77" s="140"/>
      <c r="N77" s="140"/>
      <c r="O77" s="140"/>
      <c r="P77" s="140"/>
      <c r="Q77" s="140"/>
      <c r="R77" s="140"/>
    </row>
    <row r="78" spans="1:25" ht="15" customHeight="1" x14ac:dyDescent="0.25">
      <c r="A78" s="140" t="s">
        <v>207</v>
      </c>
      <c r="B78" s="140"/>
      <c r="C78" s="140"/>
      <c r="D78" s="140"/>
      <c r="E78" s="140"/>
      <c r="F78" s="140"/>
      <c r="G78" s="140"/>
      <c r="H78" s="140"/>
      <c r="I78" s="140"/>
      <c r="J78" s="140"/>
      <c r="K78" s="140"/>
      <c r="L78" s="140"/>
      <c r="M78" s="140"/>
      <c r="N78" s="140"/>
      <c r="O78" s="140"/>
      <c r="P78" s="140"/>
      <c r="Q78" s="140"/>
      <c r="R78" s="140"/>
    </row>
    <row r="79" spans="1:25" ht="15" customHeight="1" x14ac:dyDescent="0.25">
      <c r="A79" s="140"/>
      <c r="B79" s="140"/>
      <c r="C79" s="140"/>
      <c r="D79" s="140"/>
      <c r="E79" s="140"/>
      <c r="F79" s="140"/>
      <c r="G79" s="140"/>
      <c r="H79" s="140"/>
      <c r="I79" s="140"/>
      <c r="J79" s="140"/>
      <c r="K79" s="140"/>
      <c r="L79" s="140"/>
      <c r="M79" s="140"/>
      <c r="N79" s="140"/>
      <c r="O79" s="140"/>
      <c r="P79" s="140"/>
      <c r="Q79" s="140"/>
      <c r="R79" s="140"/>
    </row>
    <row r="80" spans="1:25" ht="15" customHeight="1" x14ac:dyDescent="0.25">
      <c r="A80" s="140" t="s">
        <v>208</v>
      </c>
      <c r="B80" s="140"/>
      <c r="C80" s="140"/>
      <c r="D80" s="140"/>
      <c r="E80" s="140"/>
      <c r="F80" s="140"/>
      <c r="G80" s="140"/>
      <c r="H80" s="140"/>
      <c r="I80" s="140"/>
      <c r="J80" s="140"/>
      <c r="K80" s="140"/>
      <c r="L80" s="140"/>
      <c r="M80" s="140"/>
      <c r="N80" s="140"/>
      <c r="O80" s="140"/>
      <c r="P80" s="140"/>
      <c r="Q80" s="140"/>
      <c r="R80" s="140"/>
    </row>
    <row r="81" spans="1:18" ht="15" customHeight="1" x14ac:dyDescent="0.25">
      <c r="A81" s="140" t="s">
        <v>209</v>
      </c>
      <c r="B81" s="140"/>
      <c r="C81" s="140"/>
      <c r="D81" s="140"/>
      <c r="E81" s="140"/>
      <c r="F81" s="140"/>
      <c r="G81" s="140"/>
      <c r="H81" s="140"/>
      <c r="I81" s="140"/>
      <c r="J81" s="140"/>
      <c r="K81" s="140"/>
      <c r="L81" s="140"/>
      <c r="M81" s="140"/>
      <c r="N81" s="140"/>
      <c r="O81" s="140"/>
      <c r="P81" s="140"/>
      <c r="Q81" s="140"/>
      <c r="R81" s="140"/>
    </row>
    <row r="82" spans="1:18" x14ac:dyDescent="0.25">
      <c r="A82" s="140" t="s">
        <v>210</v>
      </c>
      <c r="B82" s="140"/>
      <c r="C82" s="140"/>
      <c r="D82" s="140"/>
      <c r="E82" s="140"/>
      <c r="F82" s="140"/>
      <c r="G82" s="140"/>
      <c r="H82" s="140"/>
      <c r="I82" s="140"/>
      <c r="J82" s="140"/>
      <c r="K82" s="140"/>
      <c r="L82" s="140"/>
      <c r="M82" s="140"/>
      <c r="N82" s="140"/>
      <c r="O82" s="140"/>
      <c r="P82" s="140"/>
      <c r="Q82" s="140"/>
      <c r="R82" s="140"/>
    </row>
    <row r="83" spans="1:18" ht="15" customHeight="1" x14ac:dyDescent="0.25">
      <c r="A83" s="140" t="s">
        <v>206</v>
      </c>
      <c r="B83" s="140"/>
      <c r="C83" s="140"/>
      <c r="D83" s="140"/>
      <c r="E83" s="140"/>
      <c r="F83" s="140"/>
      <c r="G83" s="140"/>
      <c r="H83" s="140"/>
      <c r="I83" s="140"/>
      <c r="J83" s="140"/>
      <c r="K83" s="140"/>
      <c r="L83" s="140"/>
      <c r="M83" s="140"/>
      <c r="N83" s="140"/>
      <c r="O83" s="140"/>
      <c r="P83" s="140"/>
      <c r="Q83" s="140"/>
      <c r="R83" s="140"/>
    </row>
    <row r="84" spans="1:18" x14ac:dyDescent="0.25">
      <c r="A84" s="140" t="s">
        <v>211</v>
      </c>
      <c r="B84" s="140"/>
      <c r="C84" s="140"/>
      <c r="D84" s="140"/>
      <c r="E84" s="140"/>
      <c r="F84" s="140"/>
      <c r="G84" s="140"/>
      <c r="H84" s="140"/>
      <c r="I84" s="140"/>
      <c r="J84" s="140"/>
      <c r="K84" s="140"/>
      <c r="L84" s="140"/>
      <c r="M84" s="140"/>
      <c r="N84" s="140"/>
      <c r="O84" s="140"/>
      <c r="P84" s="140"/>
      <c r="Q84" s="140"/>
      <c r="R84" s="140"/>
    </row>
    <row r="86" spans="1:18" ht="15" customHeight="1" x14ac:dyDescent="0.25"/>
    <row r="88" spans="1:18" ht="15" customHeight="1" x14ac:dyDescent="0.25"/>
    <row r="89" spans="1:18" ht="15" customHeight="1" x14ac:dyDescent="0.25"/>
    <row r="90" spans="1:18" ht="15" customHeight="1" x14ac:dyDescent="0.25"/>
    <row r="91" spans="1:18" ht="15" customHeight="1" x14ac:dyDescent="0.25"/>
    <row r="92" spans="1:18" ht="15" customHeight="1" x14ac:dyDescent="0.25"/>
  </sheetData>
  <sheetProtection algorithmName="SHA-512" hashValue="xU103dFAEdHt0A7IcHMYM3hsA0RwHgj5JQi21qDU+fu5GsHpcq2hf8b0n46og8QgWhYnBMruk2Y7UA7cWvcM3A==" saltValue="IH1sJWgUtcJST4xCkJwURg==" spinCount="100000" sheet="1" objects="1" scenarios="1"/>
  <mergeCells count="230">
    <mergeCell ref="A58:R60"/>
    <mergeCell ref="A55:B55"/>
    <mergeCell ref="C55:R55"/>
    <mergeCell ref="A53:B53"/>
    <mergeCell ref="C53:F53"/>
    <mergeCell ref="A63:R63"/>
    <mergeCell ref="A82:R82"/>
    <mergeCell ref="A83:R83"/>
    <mergeCell ref="A84:R84"/>
    <mergeCell ref="A66:R67"/>
    <mergeCell ref="A74:R75"/>
    <mergeCell ref="A76:R77"/>
    <mergeCell ref="A78:R79"/>
    <mergeCell ref="A71:R71"/>
    <mergeCell ref="A72:R72"/>
    <mergeCell ref="A73:R73"/>
    <mergeCell ref="A64:R64"/>
    <mergeCell ref="A65:R65"/>
    <mergeCell ref="A68:R68"/>
    <mergeCell ref="A69:R69"/>
    <mergeCell ref="A70:R70"/>
    <mergeCell ref="A80:R80"/>
    <mergeCell ref="A81:R81"/>
    <mergeCell ref="G53:J53"/>
    <mergeCell ref="K53:N53"/>
    <mergeCell ref="A49:B49"/>
    <mergeCell ref="C49:F49"/>
    <mergeCell ref="G49:J49"/>
    <mergeCell ref="K49:N49"/>
    <mergeCell ref="O49:R49"/>
    <mergeCell ref="A50:B50"/>
    <mergeCell ref="C50:F50"/>
    <mergeCell ref="G50:J50"/>
    <mergeCell ref="K50:N50"/>
    <mergeCell ref="O50:R50"/>
    <mergeCell ref="A51:B51"/>
    <mergeCell ref="C51:F51"/>
    <mergeCell ref="G51:J51"/>
    <mergeCell ref="K51:N51"/>
    <mergeCell ref="O51:R51"/>
    <mergeCell ref="A52:B52"/>
    <mergeCell ref="C52:F52"/>
    <mergeCell ref="G52:J52"/>
    <mergeCell ref="K52:N52"/>
    <mergeCell ref="O52:R52"/>
    <mergeCell ref="O53:R53"/>
    <mergeCell ref="A47:B47"/>
    <mergeCell ref="C47:F47"/>
    <mergeCell ref="G47:J47"/>
    <mergeCell ref="K47:N47"/>
    <mergeCell ref="O47:R47"/>
    <mergeCell ref="A48:B48"/>
    <mergeCell ref="C48:F48"/>
    <mergeCell ref="G48:J48"/>
    <mergeCell ref="K48:N48"/>
    <mergeCell ref="O48:R48"/>
    <mergeCell ref="A45:B45"/>
    <mergeCell ref="C45:F45"/>
    <mergeCell ref="G45:J45"/>
    <mergeCell ref="K45:N45"/>
    <mergeCell ref="O45:R45"/>
    <mergeCell ref="A46:B46"/>
    <mergeCell ref="C46:F46"/>
    <mergeCell ref="G46:J46"/>
    <mergeCell ref="K46:N46"/>
    <mergeCell ref="O46:R46"/>
    <mergeCell ref="A43:B43"/>
    <mergeCell ref="C43:F43"/>
    <mergeCell ref="G43:J43"/>
    <mergeCell ref="K43:N43"/>
    <mergeCell ref="O43:R43"/>
    <mergeCell ref="A44:B44"/>
    <mergeCell ref="C44:F44"/>
    <mergeCell ref="G44:J44"/>
    <mergeCell ref="K44:N44"/>
    <mergeCell ref="O44:R44"/>
    <mergeCell ref="A41:B41"/>
    <mergeCell ref="C41:F41"/>
    <mergeCell ref="G41:J41"/>
    <mergeCell ref="K41:N41"/>
    <mergeCell ref="O41:R41"/>
    <mergeCell ref="A42:B42"/>
    <mergeCell ref="C42:F42"/>
    <mergeCell ref="G42:J42"/>
    <mergeCell ref="K42:N42"/>
    <mergeCell ref="O42:R42"/>
    <mergeCell ref="A39:B39"/>
    <mergeCell ref="C39:F39"/>
    <mergeCell ref="G39:J39"/>
    <mergeCell ref="K39:N39"/>
    <mergeCell ref="O39:R39"/>
    <mergeCell ref="A40:B40"/>
    <mergeCell ref="C40:F40"/>
    <mergeCell ref="G40:J40"/>
    <mergeCell ref="K40:N40"/>
    <mergeCell ref="O40:R40"/>
    <mergeCell ref="A37:B37"/>
    <mergeCell ref="C37:F37"/>
    <mergeCell ref="G37:J37"/>
    <mergeCell ref="K37:N37"/>
    <mergeCell ref="O37:R37"/>
    <mergeCell ref="A38:B38"/>
    <mergeCell ref="C38:F38"/>
    <mergeCell ref="G38:J38"/>
    <mergeCell ref="K38:N38"/>
    <mergeCell ref="O38:R38"/>
    <mergeCell ref="A35:B35"/>
    <mergeCell ref="C35:F35"/>
    <mergeCell ref="G35:J35"/>
    <mergeCell ref="K35:N35"/>
    <mergeCell ref="O35:R35"/>
    <mergeCell ref="A36:B36"/>
    <mergeCell ref="C36:F36"/>
    <mergeCell ref="G36:J36"/>
    <mergeCell ref="K36:N36"/>
    <mergeCell ref="O36:R36"/>
    <mergeCell ref="A33:B33"/>
    <mergeCell ref="C33:F33"/>
    <mergeCell ref="G33:J33"/>
    <mergeCell ref="K33:N33"/>
    <mergeCell ref="O33:R33"/>
    <mergeCell ref="A34:B34"/>
    <mergeCell ref="C34:F34"/>
    <mergeCell ref="G34:J34"/>
    <mergeCell ref="K34:N34"/>
    <mergeCell ref="O34:R34"/>
    <mergeCell ref="A31:B31"/>
    <mergeCell ref="C31:F31"/>
    <mergeCell ref="G31:J31"/>
    <mergeCell ref="K31:N31"/>
    <mergeCell ref="O31:R31"/>
    <mergeCell ref="A32:B32"/>
    <mergeCell ref="C32:F32"/>
    <mergeCell ref="G32:J32"/>
    <mergeCell ref="K32:N32"/>
    <mergeCell ref="O32:R32"/>
    <mergeCell ref="A29:B29"/>
    <mergeCell ref="C29:F29"/>
    <mergeCell ref="G29:J29"/>
    <mergeCell ref="K29:N29"/>
    <mergeCell ref="O29:R29"/>
    <mergeCell ref="A30:B30"/>
    <mergeCell ref="C30:F30"/>
    <mergeCell ref="G30:J30"/>
    <mergeCell ref="K30:N30"/>
    <mergeCell ref="O30:R30"/>
    <mergeCell ref="A27:B27"/>
    <mergeCell ref="C27:F27"/>
    <mergeCell ref="G27:J27"/>
    <mergeCell ref="K27:N27"/>
    <mergeCell ref="O27:R27"/>
    <mergeCell ref="A28:B28"/>
    <mergeCell ref="C28:F28"/>
    <mergeCell ref="G28:J28"/>
    <mergeCell ref="K28:N28"/>
    <mergeCell ref="O28:R28"/>
    <mergeCell ref="A25:B25"/>
    <mergeCell ref="C25:F25"/>
    <mergeCell ref="G25:J25"/>
    <mergeCell ref="K25:N25"/>
    <mergeCell ref="O25:R25"/>
    <mergeCell ref="A26:B26"/>
    <mergeCell ref="C26:F26"/>
    <mergeCell ref="G26:J26"/>
    <mergeCell ref="K26:N26"/>
    <mergeCell ref="O26:R26"/>
    <mergeCell ref="A23:B23"/>
    <mergeCell ref="C23:F23"/>
    <mergeCell ref="G23:J23"/>
    <mergeCell ref="K23:N23"/>
    <mergeCell ref="O23:R23"/>
    <mergeCell ref="A24:B24"/>
    <mergeCell ref="C24:F24"/>
    <mergeCell ref="G24:J24"/>
    <mergeCell ref="K24:N24"/>
    <mergeCell ref="O24:R24"/>
    <mergeCell ref="O15:P16"/>
    <mergeCell ref="Q15:R16"/>
    <mergeCell ref="A17:R17"/>
    <mergeCell ref="A18:R18"/>
    <mergeCell ref="A20:B22"/>
    <mergeCell ref="C20:R20"/>
    <mergeCell ref="C21:F22"/>
    <mergeCell ref="G21:J22"/>
    <mergeCell ref="K21:N22"/>
    <mergeCell ref="O21:R22"/>
    <mergeCell ref="A15:D16"/>
    <mergeCell ref="E15:F16"/>
    <mergeCell ref="G15:H16"/>
    <mergeCell ref="I15:J16"/>
    <mergeCell ref="K15:L16"/>
    <mergeCell ref="M15:N16"/>
    <mergeCell ref="G11:H12"/>
    <mergeCell ref="I11:J12"/>
    <mergeCell ref="K11:L12"/>
    <mergeCell ref="M11:N12"/>
    <mergeCell ref="O11:P12"/>
    <mergeCell ref="Q11:R12"/>
    <mergeCell ref="A13:D14"/>
    <mergeCell ref="E13:F14"/>
    <mergeCell ref="G13:H14"/>
    <mergeCell ref="I13:J14"/>
    <mergeCell ref="K13:L14"/>
    <mergeCell ref="M13:N14"/>
    <mergeCell ref="O13:P14"/>
    <mergeCell ref="Q13:R14"/>
    <mergeCell ref="A3:R4"/>
    <mergeCell ref="AA5:AJ5"/>
    <mergeCell ref="AA6:AA36"/>
    <mergeCell ref="AC6:AC36"/>
    <mergeCell ref="AE6:AE36"/>
    <mergeCell ref="AG6:AG36"/>
    <mergeCell ref="AI6:AI36"/>
    <mergeCell ref="A5:R5"/>
    <mergeCell ref="A1:R1"/>
    <mergeCell ref="A8:D8"/>
    <mergeCell ref="E8:F8"/>
    <mergeCell ref="G8:J8"/>
    <mergeCell ref="K8:N8"/>
    <mergeCell ref="O8:R8"/>
    <mergeCell ref="A9:D10"/>
    <mergeCell ref="E9:F10"/>
    <mergeCell ref="G9:H10"/>
    <mergeCell ref="I9:J10"/>
    <mergeCell ref="K9:L10"/>
    <mergeCell ref="M9:N10"/>
    <mergeCell ref="O9:P10"/>
    <mergeCell ref="Q9:R10"/>
    <mergeCell ref="A11:D12"/>
    <mergeCell ref="E11:F12"/>
  </mergeCells>
  <pageMargins left="0.511811024" right="0.511811024" top="0.78740157499999996" bottom="0.78740157499999996" header="0.31496062000000002" footer="0.31496062000000002"/>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AVALIAÇÃO DO TERRENO</vt:lpstr>
      <vt:lpstr>IMÓVEIS DE REFERÊNCIA</vt:lpstr>
      <vt:lpstr>VANTAGEM DA COISA FEITA</vt:lpstr>
      <vt:lpstr>'AVALIAÇÃO DO TERRENO'!Area_de_impressao</vt:lpstr>
      <vt:lpstr>'IMÓVEIS DE REFERÊNCIA'!Area_de_impressao</vt:lpstr>
      <vt:lpstr>'VANTAGEM DA COISA FEITA'!Area_de_impressao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Estudo para calcular o custo unitário local</dc:title>
  <dc:creator>Samuel Jesus de Oliveira</dc:creator>
  <cp:lastModifiedBy>Samuel Jesus de Oliveira</cp:lastModifiedBy>
  <cp:lastPrinted>2024-09-29T19:40:11Z</cp:lastPrinted>
  <dcterms:created xsi:type="dcterms:W3CDTF">2024-06-02T16:00:59Z</dcterms:created>
  <dcterms:modified xsi:type="dcterms:W3CDTF">2024-10-04T23:02:55Z</dcterms:modified>
</cp:coreProperties>
</file>